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"/>
    </mc:Choice>
  </mc:AlternateContent>
  <bookViews>
    <workbookView xWindow="0" yWindow="0" windowWidth="25200" windowHeight="11895"/>
  </bookViews>
  <sheets>
    <sheet name="Input Data" sheetId="1" r:id="rId1"/>
    <sheet name="NICSACO.COM" sheetId="2" state="hidden" r:id="rId2"/>
    <sheet name="PC-NICSACO.COM" sheetId="3" state="hidden" r:id="rId3"/>
    <sheet name="Performa" sheetId="4" r:id="rId4"/>
  </sheets>
  <definedNames>
    <definedName name="_xlnm.Print_Area" localSheetId="0">'Input Data'!$B$2:$AV$41</definedName>
    <definedName name="_xlnm.Print_Area" localSheetId="3">Performa!$A$1:$I$59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4" i="2" l="1"/>
  <c r="V13" i="2"/>
  <c r="V12" i="2"/>
  <c r="V11" i="2"/>
  <c r="AA36" i="2"/>
  <c r="AA37" i="2"/>
  <c r="AB35" i="2"/>
  <c r="AB36" i="2"/>
  <c r="AB37" i="2"/>
  <c r="AB4" i="2"/>
  <c r="AB5" i="2"/>
  <c r="AB6" i="2"/>
  <c r="AB7" i="2"/>
  <c r="AB8" i="2"/>
  <c r="AB9" i="2"/>
  <c r="AB10" i="2"/>
  <c r="AB11" i="2"/>
  <c r="AB12" i="2"/>
  <c r="AB13" i="2"/>
  <c r="AB14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" i="2"/>
  <c r="C11" i="3"/>
  <c r="E11" i="3" s="1"/>
  <c r="E34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3" i="3"/>
  <c r="E32" i="3"/>
  <c r="E31" i="3"/>
  <c r="E30" i="3"/>
  <c r="E29" i="3"/>
  <c r="E26" i="3"/>
  <c r="E25" i="3"/>
  <c r="E20" i="3"/>
  <c r="E19" i="3"/>
  <c r="E18" i="3"/>
  <c r="E16" i="3"/>
  <c r="E15" i="3"/>
  <c r="E14" i="3"/>
  <c r="E12" i="3"/>
  <c r="E10" i="3"/>
  <c r="E8" i="3"/>
  <c r="E7" i="3"/>
  <c r="E6" i="3"/>
  <c r="E4" i="3"/>
  <c r="E3" i="3"/>
  <c r="E2" i="3"/>
  <c r="E28" i="3"/>
  <c r="D45" i="2" l="1"/>
  <c r="D46" i="2"/>
  <c r="D44" i="2"/>
  <c r="C45" i="2"/>
  <c r="C46" i="2"/>
  <c r="C44" i="2"/>
  <c r="B45" i="2"/>
  <c r="B46" i="2"/>
  <c r="B44" i="2"/>
  <c r="A45" i="2"/>
  <c r="A46" i="2"/>
  <c r="A44" i="2"/>
  <c r="Q35" i="2" l="1"/>
  <c r="E45" i="4" s="1"/>
  <c r="AA34" i="2" s="1"/>
  <c r="Z34" i="2" s="1"/>
  <c r="D45" i="4" s="1"/>
  <c r="R5" i="2"/>
  <c r="R8" i="2"/>
  <c r="B18" i="4" s="1"/>
  <c r="P37" i="2"/>
  <c r="P38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5" i="2"/>
  <c r="U31" i="2"/>
  <c r="U30" i="2"/>
  <c r="U29" i="2"/>
  <c r="U28" i="2"/>
  <c r="U27" i="2"/>
  <c r="U26" i="2"/>
  <c r="U25" i="2"/>
  <c r="U24" i="2"/>
  <c r="AK38" i="1"/>
  <c r="AJ38" i="1"/>
  <c r="R41" i="2"/>
  <c r="S41" i="2"/>
  <c r="L43" i="2"/>
  <c r="L42" i="2"/>
  <c r="L41" i="2"/>
  <c r="L40" i="2"/>
  <c r="B15" i="4" l="1"/>
  <c r="Q36" i="2"/>
  <c r="E46" i="4" s="1"/>
  <c r="A6" i="4"/>
  <c r="AA35" i="2" l="1"/>
  <c r="Z35" i="2" s="1"/>
  <c r="D46" i="4" s="1"/>
  <c r="C46" i="4" s="1"/>
  <c r="AI37" i="1"/>
  <c r="AH37" i="1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D29" i="2"/>
  <c r="E29" i="2"/>
  <c r="F29" i="2"/>
  <c r="G29" i="2"/>
  <c r="H29" i="2"/>
  <c r="E25" i="2"/>
  <c r="F25" i="2"/>
  <c r="G25" i="2"/>
  <c r="H25" i="2"/>
  <c r="D20" i="2"/>
  <c r="H20" i="2"/>
  <c r="D21" i="2"/>
  <c r="H21" i="2"/>
  <c r="D22" i="2"/>
  <c r="H22" i="2"/>
  <c r="D23" i="2"/>
  <c r="E23" i="2"/>
  <c r="F23" i="2"/>
  <c r="G23" i="2"/>
  <c r="H23" i="2"/>
  <c r="H19" i="2"/>
  <c r="H14" i="2"/>
  <c r="H15" i="2"/>
  <c r="H16" i="2"/>
  <c r="E17" i="2"/>
  <c r="F17" i="2"/>
  <c r="G17" i="2"/>
  <c r="H17" i="2"/>
  <c r="H13" i="2"/>
  <c r="E20" i="2"/>
  <c r="F20" i="2"/>
  <c r="I27" i="1"/>
  <c r="G20" i="2" s="1"/>
  <c r="G28" i="1"/>
  <c r="E21" i="2" s="1"/>
  <c r="H28" i="1"/>
  <c r="F21" i="2" s="1"/>
  <c r="I28" i="1"/>
  <c r="G21" i="2" s="1"/>
  <c r="G29" i="1"/>
  <c r="E22" i="2" s="1"/>
  <c r="H29" i="1"/>
  <c r="F22" i="2" s="1"/>
  <c r="I29" i="1"/>
  <c r="G22" i="2" s="1"/>
  <c r="H26" i="1"/>
  <c r="F19" i="2" s="1"/>
  <c r="I26" i="1"/>
  <c r="G19" i="2" s="1"/>
  <c r="E19" i="2"/>
  <c r="F33" i="1"/>
  <c r="D33" i="2" s="1"/>
  <c r="D25" i="2"/>
  <c r="D19" i="2"/>
  <c r="D14" i="2"/>
  <c r="D15" i="2"/>
  <c r="D16" i="2"/>
  <c r="D17" i="2"/>
  <c r="D13" i="2"/>
  <c r="Q16" i="1"/>
  <c r="E14" i="2" s="1"/>
  <c r="R16" i="1"/>
  <c r="F14" i="2" s="1"/>
  <c r="G14" i="2"/>
  <c r="Q17" i="1"/>
  <c r="E15" i="2" s="1"/>
  <c r="R17" i="1"/>
  <c r="F15" i="2" s="1"/>
  <c r="G15" i="2"/>
  <c r="Q18" i="1"/>
  <c r="E16" i="2" s="1"/>
  <c r="R18" i="1"/>
  <c r="F16" i="2" s="1"/>
  <c r="S18" i="1"/>
  <c r="G16" i="2" s="1"/>
  <c r="R15" i="1"/>
  <c r="F13" i="2" s="1"/>
  <c r="S15" i="1"/>
  <c r="G13" i="2" s="1"/>
  <c r="Q15" i="1"/>
  <c r="E13" i="2" s="1"/>
  <c r="G16" i="1"/>
  <c r="E8" i="2" s="1"/>
  <c r="H16" i="1"/>
  <c r="F8" i="2" s="1"/>
  <c r="I16" i="1"/>
  <c r="G8" i="2" s="1"/>
  <c r="G17" i="1"/>
  <c r="E9" i="2" s="1"/>
  <c r="H17" i="1"/>
  <c r="F9" i="2" s="1"/>
  <c r="I17" i="1"/>
  <c r="G9" i="2" s="1"/>
  <c r="G18" i="1"/>
  <c r="E10" i="2" s="1"/>
  <c r="H18" i="1"/>
  <c r="F10" i="2" s="1"/>
  <c r="I18" i="1"/>
  <c r="G10" i="2" s="1"/>
  <c r="H15" i="1"/>
  <c r="F7" i="2" s="1"/>
  <c r="I15" i="1"/>
  <c r="G7" i="2" s="1"/>
  <c r="G15" i="1"/>
  <c r="E7" i="2" s="1"/>
  <c r="H7" i="2"/>
  <c r="H8" i="2"/>
  <c r="H9" i="2"/>
  <c r="H10" i="2"/>
  <c r="E11" i="2"/>
  <c r="F11" i="2"/>
  <c r="G11" i="2"/>
  <c r="H11" i="2"/>
  <c r="D8" i="2"/>
  <c r="D9" i="2"/>
  <c r="D10" i="2"/>
  <c r="D11" i="2"/>
  <c r="D7" i="2"/>
  <c r="D3" i="2"/>
  <c r="F3" i="2" s="1"/>
  <c r="G3" i="2" s="1"/>
  <c r="R42" i="2" s="1"/>
  <c r="Q29" i="2" s="1"/>
  <c r="E39" i="4" s="1"/>
  <c r="AA28" i="2" s="1"/>
  <c r="Z28" i="2" s="1"/>
  <c r="D31" i="2" l="1"/>
  <c r="U8" i="2" s="1"/>
  <c r="U9" i="2" s="1"/>
  <c r="R6" i="2" s="1"/>
  <c r="B16" i="4" s="1"/>
  <c r="D39" i="4"/>
  <c r="C39" i="4" s="1"/>
  <c r="T29" i="2"/>
  <c r="Q26" i="2"/>
  <c r="E36" i="4" s="1"/>
  <c r="Q27" i="2"/>
  <c r="E37" i="4" s="1"/>
  <c r="AA26" i="2" s="1"/>
  <c r="Q5" i="2"/>
  <c r="Q6" i="2" s="1"/>
  <c r="E16" i="4" s="1"/>
  <c r="Q8" i="2"/>
  <c r="E18" i="4" s="1"/>
  <c r="F12" i="2"/>
  <c r="H20" i="1" s="1"/>
  <c r="F24" i="2"/>
  <c r="H31" i="1" s="1"/>
  <c r="E30" i="2"/>
  <c r="Q31" i="1" s="1"/>
  <c r="G30" i="2"/>
  <c r="S31" i="1" s="1"/>
  <c r="H24" i="2"/>
  <c r="J31" i="1" s="1"/>
  <c r="F30" i="2"/>
  <c r="R31" i="1" s="1"/>
  <c r="H30" i="2"/>
  <c r="T31" i="1" s="1"/>
  <c r="E24" i="2"/>
  <c r="G31" i="1" s="1"/>
  <c r="G24" i="2"/>
  <c r="I31" i="1" s="1"/>
  <c r="E18" i="2"/>
  <c r="Q20" i="1" s="1"/>
  <c r="G18" i="2"/>
  <c r="S20" i="1" s="1"/>
  <c r="G12" i="2"/>
  <c r="F18" i="2"/>
  <c r="R20" i="1" s="1"/>
  <c r="H18" i="2"/>
  <c r="T20" i="1" s="1"/>
  <c r="H12" i="2"/>
  <c r="E12" i="2"/>
  <c r="E8" i="1"/>
  <c r="Z26" i="2" l="1"/>
  <c r="D37" i="4" s="1"/>
  <c r="C37" i="4" s="1"/>
  <c r="AA6" i="2"/>
  <c r="Z6" i="2" s="1"/>
  <c r="AA4" i="2"/>
  <c r="Z4" i="2" s="1"/>
  <c r="T26" i="2"/>
  <c r="AA25" i="2"/>
  <c r="Z25" i="2" s="1"/>
  <c r="T27" i="2"/>
  <c r="E15" i="4"/>
  <c r="G31" i="2"/>
  <c r="G37" i="2" s="1"/>
  <c r="I20" i="1"/>
  <c r="J20" i="1"/>
  <c r="H31" i="2"/>
  <c r="H37" i="2" s="1"/>
  <c r="F31" i="2"/>
  <c r="F37" i="2" s="1"/>
  <c r="G20" i="1"/>
  <c r="E31" i="2"/>
  <c r="E37" i="2" s="1"/>
  <c r="D36" i="4" l="1"/>
  <c r="C36" i="4" s="1"/>
  <c r="D18" i="4"/>
  <c r="C18" i="4" s="1"/>
  <c r="D16" i="4"/>
  <c r="C16" i="4" s="1"/>
  <c r="AA3" i="2"/>
  <c r="T10" i="2"/>
  <c r="H38" i="2"/>
  <c r="H39" i="2" s="1"/>
  <c r="S40" i="1" s="1"/>
  <c r="S37" i="1"/>
  <c r="G38" i="2"/>
  <c r="Q37" i="1"/>
  <c r="F38" i="2"/>
  <c r="F39" i="2" s="1"/>
  <c r="P40" i="1" s="1"/>
  <c r="AI13" i="1" s="1"/>
  <c r="P37" i="1"/>
  <c r="E38" i="2"/>
  <c r="E39" i="2" s="1"/>
  <c r="N40" i="1" s="1"/>
  <c r="AH13" i="1" s="1"/>
  <c r="N37" i="1"/>
  <c r="Z3" i="2" l="1"/>
  <c r="D15" i="4" s="1"/>
  <c r="C15" i="4" s="1"/>
  <c r="E41" i="2"/>
  <c r="Q38" i="1"/>
  <c r="G39" i="2"/>
  <c r="Q40" i="1" s="1"/>
  <c r="S38" i="1"/>
  <c r="P38" i="1"/>
  <c r="N38" i="1"/>
  <c r="E44" i="2" l="1"/>
  <c r="AI17" i="1" s="1"/>
  <c r="AK13" i="1"/>
  <c r="AJ13" i="1"/>
  <c r="E42" i="2"/>
  <c r="E43" i="2" s="1"/>
  <c r="E45" i="2" l="1"/>
  <c r="AI18" i="1" s="1"/>
  <c r="AK18" i="1" s="1"/>
  <c r="A7" i="4"/>
  <c r="H41" i="2"/>
  <c r="G41" i="2"/>
  <c r="F41" i="2"/>
  <c r="G42" i="2" l="1"/>
  <c r="G43" i="2" s="1"/>
  <c r="G44" i="2"/>
  <c r="G45" i="2" s="1"/>
  <c r="H42" i="2"/>
  <c r="H43" i="2" s="1"/>
  <c r="H44" i="2"/>
  <c r="AI29" i="1" s="1"/>
  <c r="AK29" i="1" s="1"/>
  <c r="O21" i="2" s="1"/>
  <c r="F42" i="2"/>
  <c r="F43" i="2" s="1"/>
  <c r="F44" i="2"/>
  <c r="AI21" i="1" s="1"/>
  <c r="E46" i="2"/>
  <c r="AI19" i="1" s="1"/>
  <c r="AK17" i="1"/>
  <c r="AI25" i="1" l="1"/>
  <c r="AK25" i="1" s="1"/>
  <c r="G46" i="2"/>
  <c r="H45" i="2"/>
  <c r="H46" i="2" s="1"/>
  <c r="G47" i="2"/>
  <c r="AI26" i="1"/>
  <c r="AK26" i="1" s="1"/>
  <c r="O19" i="2" s="1"/>
  <c r="F45" i="2"/>
  <c r="AI30" i="1"/>
  <c r="AK30" i="1" s="1"/>
  <c r="O22" i="2" s="1"/>
  <c r="O10" i="2"/>
  <c r="AK21" i="1"/>
  <c r="O14" i="2" s="1"/>
  <c r="F46" i="2" l="1"/>
  <c r="AI23" i="1" s="1"/>
  <c r="AI22" i="1"/>
  <c r="H47" i="2"/>
  <c r="Q19" i="2"/>
  <c r="E29" i="4" s="1"/>
  <c r="AA18" i="2" s="1"/>
  <c r="Z18" i="2" s="1"/>
  <c r="D29" i="4" s="1"/>
  <c r="Q18" i="2"/>
  <c r="E28" i="4" s="1"/>
  <c r="AA17" i="2" s="1"/>
  <c r="Q17" i="2"/>
  <c r="E27" i="4" s="1"/>
  <c r="Q13" i="2"/>
  <c r="E23" i="4" s="1"/>
  <c r="AA11" i="2" s="1"/>
  <c r="Z11" i="2" s="1"/>
  <c r="Q10" i="2"/>
  <c r="E20" i="4" s="1"/>
  <c r="AA8" i="2" s="1"/>
  <c r="Z8" i="2" s="1"/>
  <c r="O18" i="2"/>
  <c r="AI31" i="1"/>
  <c r="AK31" i="1" s="1"/>
  <c r="O23" i="2" s="1"/>
  <c r="E47" i="2"/>
  <c r="Z17" i="2" l="1"/>
  <c r="D28" i="4" s="1"/>
  <c r="C28" i="4" s="1"/>
  <c r="D23" i="4"/>
  <c r="C23" i="4" s="1"/>
  <c r="D20" i="4"/>
  <c r="C20" i="4" s="1"/>
  <c r="T20" i="2"/>
  <c r="AA16" i="2"/>
  <c r="Q16" i="2"/>
  <c r="E26" i="4" s="1"/>
  <c r="T13" i="2"/>
  <c r="O20" i="2"/>
  <c r="AJ34" i="1" s="1"/>
  <c r="N34" i="2" s="1"/>
  <c r="O26" i="2"/>
  <c r="O11" i="2"/>
  <c r="T16" i="2"/>
  <c r="T22" i="2"/>
  <c r="T21" i="2"/>
  <c r="C29" i="4"/>
  <c r="Q33" i="2"/>
  <c r="AK22" i="1"/>
  <c r="O15" i="2" s="1"/>
  <c r="AK19" i="1"/>
  <c r="O12" i="2" s="1"/>
  <c r="F47" i="2"/>
  <c r="Z16" i="2" l="1"/>
  <c r="D27" i="4" s="1"/>
  <c r="C27" i="4" s="1"/>
  <c r="T19" i="2"/>
  <c r="AA14" i="2"/>
  <c r="Q21" i="2"/>
  <c r="E31" i="4" s="1"/>
  <c r="Q14" i="2"/>
  <c r="E24" i="4" s="1"/>
  <c r="AA12" i="2" s="1"/>
  <c r="Q12" i="2"/>
  <c r="E22" i="4" s="1"/>
  <c r="Q11" i="2"/>
  <c r="E21" i="4" s="1"/>
  <c r="AA9" i="2" s="1"/>
  <c r="E43" i="4"/>
  <c r="O13" i="2"/>
  <c r="AH34" i="1" s="1"/>
  <c r="L34" i="2" s="1"/>
  <c r="AJ39" i="1"/>
  <c r="AK23" i="1"/>
  <c r="O16" i="2" s="1"/>
  <c r="Q15" i="2" s="1"/>
  <c r="Z14" i="2" l="1"/>
  <c r="D26" i="4" s="1"/>
  <c r="C26" i="4" s="1"/>
  <c r="Z12" i="2"/>
  <c r="D24" i="4" s="1"/>
  <c r="C24" i="4" s="1"/>
  <c r="Z9" i="2"/>
  <c r="D21" i="4" s="1"/>
  <c r="C21" i="4" s="1"/>
  <c r="T31" i="2"/>
  <c r="AA32" i="2"/>
  <c r="T15" i="2"/>
  <c r="AA10" i="2"/>
  <c r="AA20" i="2"/>
  <c r="Q20" i="2"/>
  <c r="E30" i="4" s="1"/>
  <c r="AA19" i="2" s="1"/>
  <c r="Z19" i="2" s="1"/>
  <c r="D30" i="4" s="1"/>
  <c r="T14" i="2"/>
  <c r="O24" i="2"/>
  <c r="AK34" i="1" s="1"/>
  <c r="O34" i="2" s="1"/>
  <c r="O27" i="2"/>
  <c r="Q32" i="2" s="1"/>
  <c r="E25" i="4"/>
  <c r="T17" i="2"/>
  <c r="O17" i="2"/>
  <c r="AH39" i="1"/>
  <c r="Z32" i="2" l="1"/>
  <c r="D43" i="4" s="1"/>
  <c r="C43" i="4" s="1"/>
  <c r="Z20" i="2"/>
  <c r="D31" i="4" s="1"/>
  <c r="C31" i="4" s="1"/>
  <c r="Z10" i="2"/>
  <c r="D22" i="4" s="1"/>
  <c r="C22" i="4" s="1"/>
  <c r="T18" i="2"/>
  <c r="AA13" i="2"/>
  <c r="Q25" i="2"/>
  <c r="E35" i="4" s="1"/>
  <c r="AA24" i="2" s="1"/>
  <c r="E42" i="4"/>
  <c r="Q22" i="2"/>
  <c r="E32" i="4" s="1"/>
  <c r="T23" i="2"/>
  <c r="C30" i="4"/>
  <c r="AK39" i="1"/>
  <c r="O28" i="2"/>
  <c r="AI34" i="1"/>
  <c r="M34" i="2" s="1"/>
  <c r="C45" i="4"/>
  <c r="Z24" i="2" l="1"/>
  <c r="D35" i="4" s="1"/>
  <c r="C35" i="4" s="1"/>
  <c r="Z13" i="2"/>
  <c r="D25" i="4" s="1"/>
  <c r="C25" i="4" s="1"/>
  <c r="T30" i="2"/>
  <c r="AA31" i="2"/>
  <c r="AA21" i="2"/>
  <c r="Z21" i="2" s="1"/>
  <c r="D32" i="4" s="1"/>
  <c r="C32" i="4" s="1"/>
  <c r="Q23" i="2"/>
  <c r="Q9" i="2" s="1"/>
  <c r="Q28" i="2"/>
  <c r="E38" i="4" s="1"/>
  <c r="T25" i="2"/>
  <c r="Q24" i="2"/>
  <c r="E34" i="4" s="1"/>
  <c r="AA23" i="2" s="1"/>
  <c r="Q7" i="2"/>
  <c r="E17" i="4" s="1"/>
  <c r="AA5" i="2" s="1"/>
  <c r="R7" i="2"/>
  <c r="AI39" i="1"/>
  <c r="Z31" i="2" l="1"/>
  <c r="D42" i="4" s="1"/>
  <c r="C42" i="4" s="1"/>
  <c r="Z23" i="2"/>
  <c r="D34" i="4" s="1"/>
  <c r="C34" i="4" s="1"/>
  <c r="Z5" i="2"/>
  <c r="D17" i="4" s="1"/>
  <c r="C17" i="4" s="1"/>
  <c r="B17" i="4"/>
  <c r="T28" i="2"/>
  <c r="AA27" i="2"/>
  <c r="T24" i="2"/>
  <c r="E19" i="4"/>
  <c r="E33" i="4"/>
  <c r="T11" i="2"/>
  <c r="Z27" i="2" l="1"/>
  <c r="D38" i="4" s="1"/>
  <c r="C38" i="4" s="1"/>
  <c r="AA22" i="2"/>
  <c r="Z22" i="2" s="1"/>
  <c r="T12" i="2"/>
  <c r="AA7" i="2"/>
  <c r="Z7" i="2" s="1"/>
  <c r="L45" i="2"/>
  <c r="L46" i="2" s="1"/>
  <c r="D33" i="4" l="1"/>
  <c r="C33" i="4" s="1"/>
  <c r="D19" i="4"/>
  <c r="C19" i="4" s="1"/>
  <c r="Q34" i="2"/>
  <c r="Q31" i="2" s="1"/>
  <c r="E41" i="4" s="1"/>
  <c r="K46" i="2"/>
  <c r="R34" i="2" s="1"/>
  <c r="B44" i="4" l="1"/>
  <c r="AA30" i="2"/>
  <c r="Q30" i="2"/>
  <c r="E40" i="4" s="1"/>
  <c r="E44" i="4"/>
  <c r="Z30" i="2" l="1"/>
  <c r="D41" i="4" s="1"/>
  <c r="C41" i="4" s="1"/>
  <c r="AA33" i="2"/>
  <c r="AA29" i="2"/>
  <c r="Z33" i="2" l="1"/>
  <c r="D44" i="4" s="1"/>
  <c r="C44" i="4" s="1"/>
  <c r="Z29" i="2"/>
  <c r="D40" i="4" s="1"/>
  <c r="C40" i="4" s="1"/>
  <c r="C49" i="4" l="1"/>
</calcChain>
</file>

<file path=xl/sharedStrings.xml><?xml version="1.0" encoding="utf-8"?>
<sst xmlns="http://schemas.openxmlformats.org/spreadsheetml/2006/main" count="258" uniqueCount="175">
  <si>
    <t>قیمت ها به روز رسانی شده لطفا به سایت WWW.NICSACO.COM مراجعه کنید</t>
  </si>
  <si>
    <t>تعداد</t>
  </si>
  <si>
    <t>DI</t>
  </si>
  <si>
    <t>DO</t>
  </si>
  <si>
    <t>AI</t>
  </si>
  <si>
    <t>AO</t>
  </si>
  <si>
    <t>initiate</t>
  </si>
  <si>
    <t>Di</t>
  </si>
  <si>
    <t>do</t>
  </si>
  <si>
    <t>ai</t>
  </si>
  <si>
    <t>ao</t>
  </si>
  <si>
    <t>Motor type 1</t>
  </si>
  <si>
    <t>Motor type 2</t>
  </si>
  <si>
    <t>Motor type 3</t>
  </si>
  <si>
    <t>Motor type 4</t>
  </si>
  <si>
    <t>32,16,8</t>
  </si>
  <si>
    <t>32,16,9</t>
  </si>
  <si>
    <t>8,2</t>
  </si>
  <si>
    <t>8,4,2</t>
  </si>
  <si>
    <t>اگر تعداد کارتها را محاسبه نکردید از این بخش استفاده کنید</t>
  </si>
  <si>
    <t>تجهیزاتی که تعداد مساوی دارد را باهم جمع کنید و یک تایپ را برای آن اختصاص دهید مثلا اگر متور های با 3</t>
  </si>
  <si>
    <t xml:space="preserve"> ورودی دیجیتال و یک خروجی دیجیتال  دارید در ردیف اول موتورها تعداد آن را قرار دهید</t>
  </si>
  <si>
    <t>اگر تعداد کارتها را محاسبه کردید از این بخش استفاده کنید</t>
  </si>
  <si>
    <t>Motors summery I/O list</t>
  </si>
  <si>
    <t>Motor type 5</t>
  </si>
  <si>
    <t>NO.</t>
  </si>
  <si>
    <t>مجموع I/O موتورها</t>
  </si>
  <si>
    <t>مجموع I/O ابزاردقیق</t>
  </si>
  <si>
    <t>Instr. summery I/O list</t>
  </si>
  <si>
    <t>Instr. type 1</t>
  </si>
  <si>
    <t>Instr. type 2</t>
  </si>
  <si>
    <t>Instr. type 3</t>
  </si>
  <si>
    <t>Instr. type 4</t>
  </si>
  <si>
    <t>Instr. type 5</t>
  </si>
  <si>
    <t>Valves summery I/O list</t>
  </si>
  <si>
    <t>Valve type 1</t>
  </si>
  <si>
    <t>Valve type 2</t>
  </si>
  <si>
    <t>Valve type 3</t>
  </si>
  <si>
    <t>Valve type 4</t>
  </si>
  <si>
    <t>Valve type 5</t>
  </si>
  <si>
    <t>مجموع I/O شیر کنترلی</t>
  </si>
  <si>
    <t>مجموع I/O متفرقه</t>
  </si>
  <si>
    <t xml:space="preserve"> type 1</t>
  </si>
  <si>
    <t xml:space="preserve"> type 2</t>
  </si>
  <si>
    <t xml:space="preserve"> type 3</t>
  </si>
  <si>
    <t xml:space="preserve"> type 4</t>
  </si>
  <si>
    <t xml:space="preserve"> type 5</t>
  </si>
  <si>
    <t xml:space="preserve"> summery I/O list</t>
  </si>
  <si>
    <t>متفرقه</t>
  </si>
  <si>
    <t>Spare I/O</t>
  </si>
  <si>
    <t>%</t>
  </si>
  <si>
    <t>I/O Calculation</t>
  </si>
  <si>
    <t>Process I/O</t>
  </si>
  <si>
    <t>Requierd total I/O</t>
  </si>
  <si>
    <t>Panel Calculation</t>
  </si>
  <si>
    <t>محاسبه گردد</t>
  </si>
  <si>
    <t>Digital Input 32 DI</t>
  </si>
  <si>
    <t>Digital Input 16 DI</t>
  </si>
  <si>
    <t>Digital Input 8 DI</t>
  </si>
  <si>
    <t>Digital ouput 32 DO</t>
  </si>
  <si>
    <t>Digital ouput 16 DO</t>
  </si>
  <si>
    <t>Digital ouput 8 DO</t>
  </si>
  <si>
    <t>Analouge Input 8 AI</t>
  </si>
  <si>
    <t>Analouge Input 2 AI</t>
  </si>
  <si>
    <t>Analouge Output 8 AO</t>
  </si>
  <si>
    <t>AnalougeOutput 4AO</t>
  </si>
  <si>
    <t>Analouge Output 2 AO</t>
  </si>
  <si>
    <t>Total PLC I/O</t>
  </si>
  <si>
    <t>درصد رله و بریر I/o ها</t>
  </si>
  <si>
    <t xml:space="preserve">تعداد کارت پیشنهادی </t>
  </si>
  <si>
    <t>تعداد کارت درخواستی</t>
  </si>
  <si>
    <t>HMI Operator Panel (OP)</t>
  </si>
  <si>
    <t>سایز سیستم  (OP)</t>
  </si>
  <si>
    <t>N/A</t>
  </si>
  <si>
    <t>قیمت</t>
  </si>
  <si>
    <t>درصد رله ایزولاتور</t>
  </si>
  <si>
    <t>درصد بریر ایزولاتور</t>
  </si>
  <si>
    <t>تعداد رله و بریر</t>
  </si>
  <si>
    <t>7"</t>
  </si>
  <si>
    <t>12"</t>
  </si>
  <si>
    <t>14"</t>
  </si>
  <si>
    <t>16"</t>
  </si>
  <si>
    <t>18"</t>
  </si>
  <si>
    <t xml:space="preserve">کلیه موارد مورد تایید است </t>
  </si>
  <si>
    <t>بله</t>
  </si>
  <si>
    <t>خیر</t>
  </si>
  <si>
    <t>Isolator Relay (DI/DO)</t>
  </si>
  <si>
    <t>Isolator Barrier (AI/AO)</t>
  </si>
  <si>
    <t xml:space="preserve">نوع تابلو کنترل  </t>
  </si>
  <si>
    <t>Remote</t>
  </si>
  <si>
    <t>UPS</t>
  </si>
  <si>
    <t>HMI Operator Panel</t>
  </si>
  <si>
    <t xml:space="preserve">Isolator Relay </t>
  </si>
  <si>
    <t xml:space="preserve">Isolator Barrier </t>
  </si>
  <si>
    <t>CPU 315-NP/DP</t>
  </si>
  <si>
    <t>CPU314</t>
  </si>
  <si>
    <t>CPU312</t>
  </si>
  <si>
    <t>Front Conector 20 pin</t>
  </si>
  <si>
    <t>Front Conector 40 pin</t>
  </si>
  <si>
    <t>Din rail 530mm</t>
  </si>
  <si>
    <t>Interface Module</t>
  </si>
  <si>
    <t>IM</t>
  </si>
  <si>
    <t>تاریخ :</t>
  </si>
  <si>
    <t>شماره :</t>
  </si>
  <si>
    <t xml:space="preserve">بادرود  </t>
  </si>
  <si>
    <t>ردیف</t>
  </si>
  <si>
    <t>شرکت :</t>
  </si>
  <si>
    <t>نام شرکت را حتما وارد کنید</t>
  </si>
  <si>
    <t xml:space="preserve">موضوع : پیشنهاد قیمت ساخت تابلو کنترل </t>
  </si>
  <si>
    <t>با توجه به اطلاعات دریافت شده بدینوسیله پیشنهاد قیمت ساخت تابلو کنترل  به شرح زیر تعیین می گردد</t>
  </si>
  <si>
    <t>بدیهی است آن شرکت بنا به مصالح خود می تواند برخی از موارد را  با هماهنگی حذف یا تغییردهد .</t>
  </si>
  <si>
    <t>شرح</t>
  </si>
  <si>
    <t>ضریب</t>
  </si>
  <si>
    <t>مقدار</t>
  </si>
  <si>
    <t>قیمت واحد (ریال)</t>
  </si>
  <si>
    <t>قیمت کل (ریال)</t>
  </si>
  <si>
    <t xml:space="preserve">توضیحات </t>
  </si>
  <si>
    <t>Power Supply</t>
  </si>
  <si>
    <t>2A</t>
  </si>
  <si>
    <t>5A</t>
  </si>
  <si>
    <t>MEMORY</t>
  </si>
  <si>
    <t>MCB 6A</t>
  </si>
  <si>
    <t>MCB 2A</t>
  </si>
  <si>
    <t>Socket Outlet 220VAC-10A</t>
  </si>
  <si>
    <t>MCB 16A</t>
  </si>
  <si>
    <t>FAN 20x20 Cm</t>
  </si>
  <si>
    <t>Heater 300 W</t>
  </si>
  <si>
    <t xml:space="preserve">UPS </t>
  </si>
  <si>
    <t>Fuse Terminal 2.5 mm2</t>
  </si>
  <si>
    <t>Terminal 2.5 mm2</t>
  </si>
  <si>
    <t>60x80Cm2</t>
  </si>
  <si>
    <t>100x140Cm2</t>
  </si>
  <si>
    <t>80x110Cm2</t>
  </si>
  <si>
    <t>70x100Cm2</t>
  </si>
  <si>
    <t>80x200Cm2</t>
  </si>
  <si>
    <t>Panel Cell (WxH Cm2)</t>
  </si>
  <si>
    <t>CPU</t>
  </si>
  <si>
    <t>کارت مشتری</t>
  </si>
  <si>
    <t>حجم تابلو</t>
  </si>
  <si>
    <t>Battery</t>
  </si>
  <si>
    <t xml:space="preserve">Digital Input </t>
  </si>
  <si>
    <t>Digital Input</t>
  </si>
  <si>
    <t xml:space="preserve">Digital ouput </t>
  </si>
  <si>
    <t>Digital ouput</t>
  </si>
  <si>
    <t>Analouge Input</t>
  </si>
  <si>
    <t xml:space="preserve">Analouge Output </t>
  </si>
  <si>
    <t xml:space="preserve">AnalougeOutput </t>
  </si>
  <si>
    <t>Analouge Output</t>
  </si>
  <si>
    <t xml:space="preserve">اگر کارت های ورودی و خروجی را دارید کافی است تعداد و نوع کارتها را وارد کنید یا تعداد I/o  ها را وارد کنید تا تعداد  کارتها </t>
  </si>
  <si>
    <t>315-2DP</t>
  </si>
  <si>
    <t>317-2DP</t>
  </si>
  <si>
    <t>CPU 317-NP/DP</t>
  </si>
  <si>
    <t>9"</t>
  </si>
  <si>
    <t>CPU315-2DP</t>
  </si>
  <si>
    <t>CPU315-NDP</t>
  </si>
  <si>
    <t>CPU317-2DP</t>
  </si>
  <si>
    <t>CPU317-NDP</t>
  </si>
  <si>
    <t>64KB</t>
  </si>
  <si>
    <t>128KB</t>
  </si>
  <si>
    <t>512KB</t>
  </si>
  <si>
    <t>2MB</t>
  </si>
  <si>
    <t>3KVA</t>
  </si>
  <si>
    <t>2h</t>
  </si>
  <si>
    <t>ریال</t>
  </si>
  <si>
    <t>نحوه پرداخت :60 % بعنوان پیش پرداخت و الباقی در هنگام تحویل تابلو ها دریافت میگردد</t>
  </si>
  <si>
    <t>محل تحویل :محل کارخانه این شرکت واقع در جاده ملارد می باشد</t>
  </si>
  <si>
    <t xml:space="preserve"> مبلغ کل با احتساب هزینه ساخت در نظر گرفته شده است</t>
  </si>
  <si>
    <t xml:space="preserve"> جهت هماهنگی بیشتر با خانم مهندس انصاری به شماره 88526643-021  تماس حاصل فرمایید</t>
  </si>
  <si>
    <t>مدت زمان انجام ساخت این تابلو دو هفته پس از تایید نقشه ها توسط کارفرما می باشد</t>
  </si>
  <si>
    <t>شرکت نیرو کنترل سامان</t>
  </si>
  <si>
    <t>آدرس: تهران. سید خندان. خیابان برازنده. پلاک 52</t>
  </si>
  <si>
    <t>تلفن: 88526642-021</t>
  </si>
  <si>
    <t xml:space="preserve">برگه محاسبات تابلو کنترل </t>
  </si>
  <si>
    <t>به نام خدا</t>
  </si>
  <si>
    <t>مبلغ کل با احتساب هزینه ساخت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</si>
</sst>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  <charset val="178"/>
    </font>
    <font>
      <sz val="14"/>
      <color theme="5" tint="-0.249977111117893"/>
      <name val="B Sina"/>
      <charset val="178"/>
    </font>
    <font>
      <sz val="14"/>
      <color theme="1"/>
      <name val="B Zar"/>
      <charset val="178"/>
    </font>
    <font>
      <sz val="14"/>
      <color theme="5" tint="-0.249977111117893"/>
      <name val="B Yekan"/>
      <charset val="178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8"/>
      <color rgb="FFC00000"/>
      <name val="Calibri"/>
      <family val="2"/>
      <scheme val="minor"/>
    </font>
    <font>
      <sz val="12"/>
      <color theme="1"/>
      <name val="B Sina"/>
      <charset val="178"/>
    </font>
    <font>
      <b/>
      <sz val="14"/>
      <name val="Arial"/>
      <family val="2"/>
      <charset val="178"/>
    </font>
    <font>
      <b/>
      <sz val="22"/>
      <name val="Arial"/>
      <family val="2"/>
      <charset val="178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name val="Arial"/>
      <family val="2"/>
      <charset val="178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Arial Narrow"/>
      <family val="2"/>
    </font>
    <font>
      <sz val="11"/>
      <name val="B Mehr"/>
      <charset val="178"/>
    </font>
    <font>
      <b/>
      <sz val="10"/>
      <color theme="0"/>
      <name val="Arial"/>
      <family val="2"/>
      <charset val="178"/>
    </font>
    <font>
      <b/>
      <sz val="8"/>
      <color theme="0"/>
      <name val="Arial"/>
      <family val="2"/>
      <charset val="178"/>
    </font>
    <font>
      <sz val="9"/>
      <color theme="0"/>
      <name val="Calibri"/>
      <family val="2"/>
      <scheme val="minor"/>
    </font>
    <font>
      <sz val="9"/>
      <color theme="0"/>
      <name val="B Sina"/>
      <charset val="178"/>
    </font>
    <font>
      <b/>
      <sz val="9"/>
      <color theme="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4"/>
      <color theme="1" tint="0.34998626667073579"/>
      <name val="B Sina"/>
      <charset val="178"/>
    </font>
    <font>
      <sz val="12"/>
      <color theme="1" tint="0.34998626667073579"/>
      <name val="B Sina"/>
      <charset val="178"/>
    </font>
    <font>
      <sz val="11"/>
      <color theme="1" tint="0.249977111117893"/>
      <name val="Calibri"/>
      <family val="2"/>
      <scheme val="minor"/>
    </font>
    <font>
      <b/>
      <sz val="18"/>
      <color theme="1" tint="0.249977111117893"/>
      <name val="Calibri"/>
      <family val="2"/>
      <scheme val="minor"/>
    </font>
    <font>
      <b/>
      <sz val="24"/>
      <name val="Calibri Light"/>
      <family val="1"/>
      <scheme val="major"/>
    </font>
    <font>
      <sz val="20"/>
      <color theme="1"/>
      <name val="Calibri"/>
      <family val="2"/>
      <scheme val="minor"/>
    </font>
    <font>
      <sz val="20"/>
      <color theme="1" tint="0.249977111117893"/>
      <name val="B Sina"/>
      <charset val="178"/>
    </font>
    <font>
      <sz val="10"/>
      <color theme="1"/>
      <name val="B Mehr"/>
      <charset val="178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</borders>
  <cellStyleXfs count="2">
    <xf numFmtId="0" fontId="0" fillId="0" borderId="0"/>
    <xf numFmtId="43" fontId="14" fillId="0" borderId="0" applyFont="0" applyFill="0" applyBorder="0" applyAlignment="0" applyProtection="0"/>
  </cellStyleXfs>
  <cellXfs count="218">
    <xf numFmtId="0" fontId="0" fillId="0" borderId="0" xfId="0"/>
    <xf numFmtId="0" fontId="0" fillId="0" borderId="2" xfId="0" applyBorder="1"/>
    <xf numFmtId="0" fontId="0" fillId="0" borderId="0" xfId="0" applyBorder="1"/>
    <xf numFmtId="0" fontId="0" fillId="0" borderId="4" xfId="0" applyBorder="1"/>
    <xf numFmtId="0" fontId="2" fillId="0" borderId="0" xfId="0" applyFont="1" applyAlignment="1">
      <alignment horizontal="center" vertical="center"/>
    </xf>
    <xf numFmtId="0" fontId="4" fillId="0" borderId="0" xfId="0" applyFont="1" applyBorder="1"/>
    <xf numFmtId="0" fontId="5" fillId="0" borderId="0" xfId="0" applyFont="1" applyBorder="1"/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0" fillId="0" borderId="9" xfId="0" applyBorder="1"/>
    <xf numFmtId="0" fontId="0" fillId="0" borderId="10" xfId="0" applyBorder="1"/>
    <xf numFmtId="0" fontId="1" fillId="0" borderId="11" xfId="0" applyFont="1" applyFill="1" applyBorder="1" applyAlignment="1">
      <alignment horizontal="center" vertic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1" fillId="0" borderId="21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2" xfId="0" applyBorder="1"/>
    <xf numFmtId="0" fontId="0" fillId="0" borderId="23" xfId="0" applyBorder="1"/>
    <xf numFmtId="0" fontId="0" fillId="0" borderId="8" xfId="0" applyBorder="1"/>
    <xf numFmtId="0" fontId="0" fillId="0" borderId="25" xfId="0" applyBorder="1"/>
    <xf numFmtId="0" fontId="0" fillId="0" borderId="23" xfId="0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0" fillId="0" borderId="9" xfId="0" applyFont="1" applyBorder="1"/>
    <xf numFmtId="0" fontId="8" fillId="0" borderId="9" xfId="0" applyFont="1" applyBorder="1" applyAlignment="1">
      <alignment horizontal="center" vertical="center"/>
    </xf>
    <xf numFmtId="0" fontId="0" fillId="0" borderId="26" xfId="0" applyBorder="1"/>
    <xf numFmtId="0" fontId="0" fillId="0" borderId="27" xfId="0" applyBorder="1"/>
    <xf numFmtId="0" fontId="1" fillId="0" borderId="28" xfId="0" applyFont="1" applyBorder="1" applyAlignment="1">
      <alignment horizontal="right" vertical="center"/>
    </xf>
    <xf numFmtId="0" fontId="0" fillId="0" borderId="29" xfId="0" applyBorder="1"/>
    <xf numFmtId="0" fontId="0" fillId="0" borderId="30" xfId="0" applyBorder="1"/>
    <xf numFmtId="0" fontId="1" fillId="0" borderId="6" xfId="0" applyFont="1" applyBorder="1" applyAlignment="1">
      <alignment horizontal="right" vertical="center"/>
    </xf>
    <xf numFmtId="0" fontId="0" fillId="0" borderId="31" xfId="0" applyBorder="1"/>
    <xf numFmtId="0" fontId="0" fillId="0" borderId="32" xfId="0" applyBorder="1"/>
    <xf numFmtId="0" fontId="1" fillId="0" borderId="33" xfId="0" applyFont="1" applyBorder="1" applyAlignment="1">
      <alignment horizontal="right" vertical="center"/>
    </xf>
    <xf numFmtId="0" fontId="0" fillId="0" borderId="25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6" fillId="0" borderId="0" xfId="0" applyFont="1" applyBorder="1"/>
    <xf numFmtId="0" fontId="1" fillId="0" borderId="34" xfId="0" applyFont="1" applyBorder="1" applyAlignment="1">
      <alignment horizontal="right" vertical="center"/>
    </xf>
    <xf numFmtId="0" fontId="0" fillId="0" borderId="8" xfId="0" applyBorder="1" applyAlignment="1">
      <alignment horizontal="left" vertical="center"/>
    </xf>
    <xf numFmtId="0" fontId="0" fillId="2" borderId="5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25" xfId="0" applyFill="1" applyBorder="1" applyAlignment="1">
      <alignment horizontal="right" vertical="center"/>
    </xf>
    <xf numFmtId="0" fontId="0" fillId="0" borderId="35" xfId="0" applyBorder="1"/>
    <xf numFmtId="0" fontId="0" fillId="3" borderId="0" xfId="0" applyFill="1" applyBorder="1"/>
    <xf numFmtId="0" fontId="9" fillId="3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" fillId="0" borderId="38" xfId="0" applyFont="1" applyFill="1" applyBorder="1" applyAlignment="1">
      <alignment horizontal="center" vertical="center"/>
    </xf>
    <xf numFmtId="0" fontId="0" fillId="0" borderId="39" xfId="0" applyBorder="1"/>
    <xf numFmtId="0" fontId="8" fillId="0" borderId="27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0" fillId="0" borderId="42" xfId="0" applyBorder="1"/>
    <xf numFmtId="0" fontId="1" fillId="0" borderId="23" xfId="0" applyFont="1" applyBorder="1" applyAlignment="1">
      <alignment horizontal="right" vertical="center"/>
    </xf>
    <xf numFmtId="0" fontId="1" fillId="0" borderId="16" xfId="0" applyFont="1" applyBorder="1" applyAlignment="1">
      <alignment horizontal="right" vertical="center"/>
    </xf>
    <xf numFmtId="0" fontId="0" fillId="0" borderId="14" xfId="0" applyBorder="1"/>
    <xf numFmtId="0" fontId="1" fillId="0" borderId="25" xfId="0" applyFont="1" applyBorder="1" applyAlignment="1">
      <alignment horizontal="right" vertical="center"/>
    </xf>
    <xf numFmtId="0" fontId="1" fillId="0" borderId="40" xfId="0" applyFont="1" applyBorder="1" applyAlignment="1">
      <alignment horizontal="center" vertical="center"/>
    </xf>
    <xf numFmtId="0" fontId="9" fillId="3" borderId="0" xfId="0" applyFont="1" applyFill="1" applyBorder="1" applyAlignment="1">
      <alignment horizontal="left" vertical="center"/>
    </xf>
    <xf numFmtId="0" fontId="7" fillId="0" borderId="43" xfId="0" applyFont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1" fillId="0" borderId="0" xfId="0" applyFont="1" applyBorder="1" applyAlignment="1">
      <alignment horizontal="left" vertical="center"/>
    </xf>
    <xf numFmtId="0" fontId="1" fillId="0" borderId="23" xfId="0" applyFont="1" applyBorder="1" applyAlignment="1">
      <alignment horizontal="left" vertical="center"/>
    </xf>
    <xf numFmtId="0" fontId="0" fillId="0" borderId="37" xfId="0" applyBorder="1" applyAlignment="1">
      <alignment horizontal="center" vertical="center"/>
    </xf>
    <xf numFmtId="0" fontId="7" fillId="2" borderId="46" xfId="0" applyFont="1" applyFill="1" applyBorder="1" applyAlignment="1">
      <alignment horizontal="center" vertical="center"/>
    </xf>
    <xf numFmtId="0" fontId="7" fillId="2" borderId="47" xfId="0" applyFont="1" applyFill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17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48" xfId="0" applyFont="1" applyFill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7" fillId="0" borderId="46" xfId="0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/>
    </xf>
    <xf numFmtId="0" fontId="0" fillId="0" borderId="49" xfId="0" applyBorder="1"/>
    <xf numFmtId="0" fontId="0" fillId="2" borderId="50" xfId="0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1" fillId="0" borderId="37" xfId="0" applyFont="1" applyBorder="1" applyAlignment="1">
      <alignment horizontal="right" vertical="center"/>
    </xf>
    <xf numFmtId="0" fontId="3" fillId="0" borderId="16" xfId="0" applyFont="1" applyBorder="1" applyAlignment="1">
      <alignment horizontal="left"/>
    </xf>
    <xf numFmtId="0" fontId="0" fillId="0" borderId="51" xfId="0" applyBorder="1"/>
    <xf numFmtId="0" fontId="11" fillId="0" borderId="0" xfId="0" applyFont="1" applyBorder="1" applyAlignment="1">
      <alignment horizontal="right" vertical="center"/>
    </xf>
    <xf numFmtId="0" fontId="1" fillId="0" borderId="8" xfId="0" applyFont="1" applyBorder="1" applyAlignment="1">
      <alignment horizontal="right" vertical="center"/>
    </xf>
    <xf numFmtId="0" fontId="0" fillId="2" borderId="40" xfId="0" applyFill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52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11" fillId="0" borderId="28" xfId="0" applyFont="1" applyBorder="1" applyAlignment="1">
      <alignment horizontal="right" vertical="center"/>
    </xf>
    <xf numFmtId="0" fontId="11" fillId="0" borderId="30" xfId="0" applyFont="1" applyBorder="1" applyAlignment="1">
      <alignment horizontal="right" vertical="center"/>
    </xf>
    <xf numFmtId="0" fontId="11" fillId="0" borderId="6" xfId="0" applyFont="1" applyBorder="1" applyAlignment="1">
      <alignment horizontal="right" vertical="center"/>
    </xf>
    <xf numFmtId="0" fontId="11" fillId="0" borderId="32" xfId="0" applyFont="1" applyBorder="1" applyAlignment="1">
      <alignment horizontal="right" vertical="center"/>
    </xf>
    <xf numFmtId="0" fontId="11" fillId="0" borderId="33" xfId="0" applyFont="1" applyBorder="1" applyAlignment="1">
      <alignment horizontal="right" vertical="center"/>
    </xf>
    <xf numFmtId="0" fontId="11" fillId="0" borderId="27" xfId="0" applyFont="1" applyBorder="1" applyAlignment="1">
      <alignment horizontal="right" vertical="center"/>
    </xf>
    <xf numFmtId="0" fontId="0" fillId="0" borderId="27" xfId="0" applyBorder="1" applyAlignment="1">
      <alignment vertical="center"/>
    </xf>
    <xf numFmtId="0" fontId="0" fillId="0" borderId="29" xfId="0" applyBorder="1" applyAlignment="1">
      <alignment vertical="center"/>
    </xf>
    <xf numFmtId="0" fontId="15" fillId="0" borderId="6" xfId="0" applyFont="1" applyBorder="1" applyAlignment="1">
      <alignment horizontal="right" vertical="center"/>
    </xf>
    <xf numFmtId="0" fontId="0" fillId="0" borderId="0" xfId="0" applyFont="1"/>
    <xf numFmtId="0" fontId="0" fillId="0" borderId="0" xfId="0" applyFont="1" applyBorder="1"/>
    <xf numFmtId="0" fontId="17" fillId="0" borderId="0" xfId="0" applyFont="1" applyBorder="1"/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54" xfId="0" applyFont="1" applyBorder="1" applyAlignment="1">
      <alignment horizontal="center" vertical="center"/>
    </xf>
    <xf numFmtId="0" fontId="17" fillId="0" borderId="56" xfId="0" applyFont="1" applyBorder="1" applyAlignment="1">
      <alignment horizontal="center" vertical="center"/>
    </xf>
    <xf numFmtId="0" fontId="0" fillId="0" borderId="61" xfId="0" applyFont="1" applyBorder="1"/>
    <xf numFmtId="0" fontId="0" fillId="0" borderId="63" xfId="0" applyFont="1" applyBorder="1" applyAlignment="1">
      <alignment horizontal="center" vertical="center"/>
    </xf>
    <xf numFmtId="0" fontId="0" fillId="0" borderId="64" xfId="0" applyFont="1" applyBorder="1" applyAlignment="1">
      <alignment horizontal="center" vertical="center"/>
    </xf>
    <xf numFmtId="0" fontId="18" fillId="0" borderId="64" xfId="0" applyFont="1" applyBorder="1" applyAlignment="1">
      <alignment horizontal="center" vertical="center"/>
    </xf>
    <xf numFmtId="0" fontId="17" fillId="0" borderId="65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0" fillId="0" borderId="59" xfId="0" applyFont="1" applyBorder="1" applyAlignment="1">
      <alignment horizontal="center" vertical="center"/>
    </xf>
    <xf numFmtId="0" fontId="0" fillId="0" borderId="62" xfId="0" applyFont="1" applyBorder="1" applyAlignment="1">
      <alignment horizontal="center" vertical="center"/>
    </xf>
    <xf numFmtId="0" fontId="0" fillId="0" borderId="58" xfId="0" applyFont="1" applyBorder="1" applyAlignment="1">
      <alignment horizontal="center" vertical="center"/>
    </xf>
    <xf numFmtId="0" fontId="0" fillId="0" borderId="61" xfId="0" applyFont="1" applyBorder="1" applyAlignment="1">
      <alignment horizontal="center" vertical="center"/>
    </xf>
    <xf numFmtId="0" fontId="0" fillId="0" borderId="57" xfId="0" applyFont="1" applyBorder="1" applyAlignment="1">
      <alignment horizontal="center" vertical="center"/>
    </xf>
    <xf numFmtId="0" fontId="0" fillId="0" borderId="60" xfId="0" applyFont="1" applyBorder="1" applyAlignment="1">
      <alignment horizontal="center" vertical="center"/>
    </xf>
    <xf numFmtId="0" fontId="0" fillId="0" borderId="50" xfId="0" applyFill="1" applyBorder="1" applyAlignment="1">
      <alignment horizontal="center" vertical="center"/>
    </xf>
    <xf numFmtId="0" fontId="2" fillId="0" borderId="58" xfId="0" applyFont="1" applyBorder="1" applyAlignment="1">
      <alignment horizontal="left" vertical="center"/>
    </xf>
    <xf numFmtId="0" fontId="2" fillId="0" borderId="58" xfId="0" applyFont="1" applyFill="1" applyBorder="1" applyAlignment="1">
      <alignment horizontal="left" vertical="center"/>
    </xf>
    <xf numFmtId="0" fontId="0" fillId="0" borderId="55" xfId="0" applyFont="1" applyFill="1" applyBorder="1" applyAlignment="1">
      <alignment horizontal="center" vertical="center"/>
    </xf>
    <xf numFmtId="0" fontId="2" fillId="0" borderId="55" xfId="0" applyFont="1" applyFill="1" applyBorder="1" applyAlignment="1">
      <alignment horizontal="left" vertical="center"/>
    </xf>
    <xf numFmtId="0" fontId="1" fillId="0" borderId="30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/>
    </xf>
    <xf numFmtId="3" fontId="0" fillId="0" borderId="55" xfId="0" applyNumberFormat="1" applyFont="1" applyBorder="1" applyAlignment="1">
      <alignment horizontal="center" vertical="center"/>
    </xf>
    <xf numFmtId="3" fontId="0" fillId="0" borderId="58" xfId="0" applyNumberFormat="1" applyFont="1" applyBorder="1" applyAlignment="1">
      <alignment horizontal="center" vertical="center"/>
    </xf>
    <xf numFmtId="3" fontId="17" fillId="0" borderId="58" xfId="0" applyNumberFormat="1" applyFont="1" applyBorder="1" applyAlignment="1">
      <alignment horizontal="center" vertical="center"/>
    </xf>
    <xf numFmtId="0" fontId="1" fillId="0" borderId="28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/>
    </xf>
    <xf numFmtId="0" fontId="1" fillId="0" borderId="26" xfId="0" applyFont="1" applyBorder="1" applyAlignment="1">
      <alignment horizontal="left" vertical="center"/>
    </xf>
    <xf numFmtId="0" fontId="1" fillId="0" borderId="66" xfId="0" applyFont="1" applyBorder="1" applyAlignment="1">
      <alignment horizontal="left" vertical="center"/>
    </xf>
    <xf numFmtId="0" fontId="1" fillId="0" borderId="67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0" fillId="0" borderId="57" xfId="0" applyFont="1" applyFill="1" applyBorder="1" applyAlignment="1">
      <alignment horizontal="center" vertical="center"/>
    </xf>
    <xf numFmtId="3" fontId="0" fillId="0" borderId="58" xfId="0" applyNumberFormat="1" applyFont="1" applyFill="1" applyBorder="1" applyAlignment="1">
      <alignment horizontal="center" vertical="center"/>
    </xf>
    <xf numFmtId="3" fontId="17" fillId="0" borderId="58" xfId="0" applyNumberFormat="1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/>
    </xf>
    <xf numFmtId="0" fontId="0" fillId="0" borderId="30" xfId="0" applyFont="1" applyBorder="1"/>
    <xf numFmtId="0" fontId="0" fillId="0" borderId="6" xfId="0" applyFont="1" applyBorder="1" applyAlignment="1">
      <alignment horizontal="center" vertical="center"/>
    </xf>
    <xf numFmtId="3" fontId="21" fillId="0" borderId="0" xfId="0" applyNumberFormat="1" applyFont="1" applyBorder="1" applyAlignment="1"/>
    <xf numFmtId="0" fontId="0" fillId="0" borderId="0" xfId="0" applyFill="1" applyBorder="1"/>
    <xf numFmtId="0" fontId="19" fillId="2" borderId="0" xfId="0" applyFont="1" applyFill="1" applyBorder="1"/>
    <xf numFmtId="0" fontId="22" fillId="0" borderId="0" xfId="0" applyFont="1" applyBorder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3" fontId="23" fillId="4" borderId="0" xfId="0" applyNumberFormat="1" applyFont="1" applyFill="1" applyAlignment="1">
      <alignment horizontal="center" vertical="center"/>
    </xf>
    <xf numFmtId="49" fontId="23" fillId="4" borderId="0" xfId="0" applyNumberFormat="1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right" vertical="center"/>
    </xf>
    <xf numFmtId="0" fontId="23" fillId="4" borderId="0" xfId="0" applyFont="1" applyFill="1" applyBorder="1" applyAlignment="1">
      <alignment horizontal="center" vertical="center"/>
    </xf>
    <xf numFmtId="3" fontId="23" fillId="4" borderId="0" xfId="0" applyNumberFormat="1" applyFont="1" applyFill="1" applyBorder="1" applyAlignment="1">
      <alignment horizontal="center" vertical="center"/>
    </xf>
    <xf numFmtId="14" fontId="23" fillId="4" borderId="0" xfId="0" applyNumberFormat="1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left" vertical="center"/>
    </xf>
    <xf numFmtId="43" fontId="23" fillId="4" borderId="0" xfId="0" applyNumberFormat="1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/>
    </xf>
    <xf numFmtId="0" fontId="25" fillId="4" borderId="0" xfId="0" applyFont="1" applyFill="1" applyBorder="1"/>
    <xf numFmtId="0" fontId="26" fillId="4" borderId="0" xfId="0" applyFont="1" applyFill="1" applyBorder="1" applyAlignment="1">
      <alignment horizontal="right" vertical="center"/>
    </xf>
    <xf numFmtId="0" fontId="27" fillId="4" borderId="0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20" fillId="4" borderId="0" xfId="0" applyFont="1" applyFill="1" applyBorder="1"/>
    <xf numFmtId="0" fontId="18" fillId="0" borderId="0" xfId="0" applyFont="1" applyBorder="1"/>
    <xf numFmtId="0" fontId="28" fillId="0" borderId="0" xfId="0" applyFont="1" applyBorder="1"/>
    <xf numFmtId="0" fontId="29" fillId="0" borderId="0" xfId="0" applyFont="1" applyBorder="1"/>
    <xf numFmtId="0" fontId="30" fillId="0" borderId="0" xfId="0" applyFont="1" applyBorder="1"/>
    <xf numFmtId="0" fontId="31" fillId="0" borderId="0" xfId="0" applyFont="1" applyBorder="1"/>
    <xf numFmtId="0" fontId="32" fillId="0" borderId="0" xfId="0" applyFont="1"/>
    <xf numFmtId="0" fontId="33" fillId="0" borderId="0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5" fillId="0" borderId="0" xfId="0" applyFont="1" applyAlignment="1">
      <alignment vertical="center"/>
    </xf>
    <xf numFmtId="0" fontId="36" fillId="0" borderId="0" xfId="0" applyFont="1" applyBorder="1"/>
    <xf numFmtId="0" fontId="36" fillId="0" borderId="0" xfId="0" applyFont="1" applyBorder="1" applyAlignment="1">
      <alignment horizontal="center" vertical="center"/>
    </xf>
    <xf numFmtId="43" fontId="16" fillId="2" borderId="41" xfId="1" applyFont="1" applyFill="1" applyBorder="1" applyAlignment="1">
      <alignment horizontal="center" vertical="center"/>
    </xf>
    <xf numFmtId="43" fontId="16" fillId="2" borderId="44" xfId="1" applyFont="1" applyFill="1" applyBorder="1" applyAlignment="1">
      <alignment horizontal="center" vertical="center"/>
    </xf>
    <xf numFmtId="0" fontId="12" fillId="2" borderId="53" xfId="0" applyFont="1" applyFill="1" applyBorder="1" applyAlignment="1">
      <alignment horizontal="center" vertical="center"/>
    </xf>
    <xf numFmtId="0" fontId="12" fillId="2" borderId="35" xfId="0" applyFont="1" applyFill="1" applyBorder="1" applyAlignment="1">
      <alignment horizontal="center" vertical="center"/>
    </xf>
    <xf numFmtId="0" fontId="12" fillId="2" borderId="36" xfId="0" applyFont="1" applyFill="1" applyBorder="1" applyAlignment="1">
      <alignment horizontal="center" vertical="center"/>
    </xf>
    <xf numFmtId="0" fontId="12" fillId="2" borderId="37" xfId="0" applyFont="1" applyFill="1" applyBorder="1" applyAlignment="1">
      <alignment horizontal="center" vertical="center"/>
    </xf>
    <xf numFmtId="0" fontId="1" fillId="0" borderId="41" xfId="0" applyFont="1" applyFill="1" applyBorder="1" applyAlignment="1">
      <alignment horizontal="center" vertical="center"/>
    </xf>
    <xf numFmtId="0" fontId="1" fillId="0" borderId="33" xfId="0" applyFont="1" applyFill="1" applyBorder="1" applyAlignment="1">
      <alignment horizontal="center" vertical="center"/>
    </xf>
    <xf numFmtId="0" fontId="13" fillId="2" borderId="36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" fillId="0" borderId="36" xfId="0" applyFont="1" applyFill="1" applyBorder="1" applyAlignment="1">
      <alignment horizontal="center" vertical="center"/>
    </xf>
    <xf numFmtId="0" fontId="1" fillId="0" borderId="37" xfId="0" applyFont="1" applyFill="1" applyBorder="1" applyAlignment="1">
      <alignment horizontal="center" vertical="center"/>
    </xf>
    <xf numFmtId="0" fontId="1" fillId="0" borderId="44" xfId="0" applyFont="1" applyFill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0" fillId="2" borderId="55" xfId="0" applyFont="1" applyFill="1" applyBorder="1" applyAlignment="1">
      <alignment horizontal="center" vertical="center"/>
    </xf>
    <xf numFmtId="0" fontId="0" fillId="2" borderId="58" xfId="0" applyFont="1" applyFill="1" applyBorder="1" applyAlignment="1">
      <alignment horizontal="center" vertical="center"/>
    </xf>
    <xf numFmtId="0" fontId="0" fillId="2" borderId="61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right" vertical="center"/>
    </xf>
    <xf numFmtId="14" fontId="1" fillId="0" borderId="0" xfId="0" applyNumberFormat="1" applyFont="1" applyBorder="1"/>
    <xf numFmtId="0" fontId="0" fillId="0" borderId="30" xfId="0" applyFont="1" applyBorder="1" applyAlignment="1">
      <alignment horizontal="left"/>
    </xf>
    <xf numFmtId="3" fontId="1" fillId="0" borderId="30" xfId="0" applyNumberFormat="1" applyFont="1" applyBorder="1" applyAlignment="1">
      <alignment horizontal="left"/>
    </xf>
    <xf numFmtId="0" fontId="1" fillId="0" borderId="36" xfId="0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png"/><Relationship Id="rId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27215</xdr:colOff>
      <xdr:row>11</xdr:row>
      <xdr:rowOff>27215</xdr:rowOff>
    </xdr:from>
    <xdr:to>
      <xdr:col>4</xdr:col>
      <xdr:colOff>340179</xdr:colOff>
      <xdr:row>13</xdr:row>
      <xdr:rowOff>285749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3782786"/>
          <a:ext cx="938892" cy="884463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272143</xdr:colOff>
      <xdr:row>11</xdr:row>
      <xdr:rowOff>190500</xdr:rowOff>
    </xdr:from>
    <xdr:to>
      <xdr:col>14</xdr:col>
      <xdr:colOff>95250</xdr:colOff>
      <xdr:row>13</xdr:row>
      <xdr:rowOff>226289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0857" y="3946071"/>
          <a:ext cx="517072" cy="661718"/>
        </a:xfrm>
        <a:prstGeom prst="rect">
          <a:avLst/>
        </a:prstGeom>
      </xdr:spPr>
    </xdr:pic>
    <xdr:clientData/>
  </xdr:twoCellAnchor>
  <xdr:twoCellAnchor editAs="oneCell">
    <xdr:from>
      <xdr:col>2</xdr:col>
      <xdr:colOff>27216</xdr:colOff>
      <xdr:row>21</xdr:row>
      <xdr:rowOff>244929</xdr:rowOff>
    </xdr:from>
    <xdr:to>
      <xdr:col>4</xdr:col>
      <xdr:colOff>367394</xdr:colOff>
      <xdr:row>24</xdr:row>
      <xdr:rowOff>250542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2" y="7130143"/>
          <a:ext cx="966106" cy="944506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34</xdr:row>
      <xdr:rowOff>27215</xdr:rowOff>
    </xdr:from>
    <xdr:to>
      <xdr:col>7</xdr:col>
      <xdr:colOff>198244</xdr:colOff>
      <xdr:row>39</xdr:row>
      <xdr:rowOff>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86" y="10668001"/>
          <a:ext cx="1735851" cy="1537607"/>
        </a:xfrm>
        <a:prstGeom prst="rect">
          <a:avLst/>
        </a:prstGeom>
      </xdr:spPr>
    </xdr:pic>
    <xdr:clientData/>
  </xdr:twoCellAnchor>
  <xdr:twoCellAnchor editAs="oneCell">
    <xdr:from>
      <xdr:col>35</xdr:col>
      <xdr:colOff>95251</xdr:colOff>
      <xdr:row>16</xdr:row>
      <xdr:rowOff>108857</xdr:rowOff>
    </xdr:from>
    <xdr:to>
      <xdr:col>35</xdr:col>
      <xdr:colOff>503679</xdr:colOff>
      <xdr:row>18</xdr:row>
      <xdr:rowOff>285750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6608" y="5116286"/>
          <a:ext cx="408428" cy="802821"/>
        </a:xfrm>
        <a:prstGeom prst="rect">
          <a:avLst/>
        </a:prstGeom>
      </xdr:spPr>
    </xdr:pic>
    <xdr:clientData/>
  </xdr:twoCellAnchor>
  <xdr:twoCellAnchor editAs="oneCell">
    <xdr:from>
      <xdr:col>35</xdr:col>
      <xdr:colOff>108857</xdr:colOff>
      <xdr:row>20</xdr:row>
      <xdr:rowOff>95250</xdr:rowOff>
    </xdr:from>
    <xdr:to>
      <xdr:col>35</xdr:col>
      <xdr:colOff>517285</xdr:colOff>
      <xdr:row>22</xdr:row>
      <xdr:rowOff>272143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5786" y="6354536"/>
          <a:ext cx="408428" cy="802821"/>
        </a:xfrm>
        <a:prstGeom prst="rect">
          <a:avLst/>
        </a:prstGeom>
      </xdr:spPr>
    </xdr:pic>
    <xdr:clientData/>
  </xdr:twoCellAnchor>
  <xdr:twoCellAnchor editAs="oneCell">
    <xdr:from>
      <xdr:col>35</xdr:col>
      <xdr:colOff>81643</xdr:colOff>
      <xdr:row>24</xdr:row>
      <xdr:rowOff>40822</xdr:rowOff>
    </xdr:from>
    <xdr:to>
      <xdr:col>35</xdr:col>
      <xdr:colOff>490071</xdr:colOff>
      <xdr:row>26</xdr:row>
      <xdr:rowOff>217715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7551965"/>
          <a:ext cx="408428" cy="802821"/>
        </a:xfrm>
        <a:prstGeom prst="rect">
          <a:avLst/>
        </a:prstGeom>
      </xdr:spPr>
    </xdr:pic>
    <xdr:clientData/>
  </xdr:twoCellAnchor>
  <xdr:twoCellAnchor editAs="oneCell">
    <xdr:from>
      <xdr:col>35</xdr:col>
      <xdr:colOff>95251</xdr:colOff>
      <xdr:row>28</xdr:row>
      <xdr:rowOff>27215</xdr:rowOff>
    </xdr:from>
    <xdr:to>
      <xdr:col>35</xdr:col>
      <xdr:colOff>503679</xdr:colOff>
      <xdr:row>30</xdr:row>
      <xdr:rowOff>204107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6608" y="8790215"/>
          <a:ext cx="408428" cy="802821"/>
        </a:xfrm>
        <a:prstGeom prst="rect">
          <a:avLst/>
        </a:prstGeom>
      </xdr:spPr>
    </xdr:pic>
    <xdr:clientData/>
  </xdr:twoCellAnchor>
  <xdr:twoCellAnchor editAs="oneCell">
    <xdr:from>
      <xdr:col>40</xdr:col>
      <xdr:colOff>204107</xdr:colOff>
      <xdr:row>11</xdr:row>
      <xdr:rowOff>272142</xdr:rowOff>
    </xdr:from>
    <xdr:to>
      <xdr:col>44</xdr:col>
      <xdr:colOff>163286</xdr:colOff>
      <xdr:row>15</xdr:row>
      <xdr:rowOff>277677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04571" y="3714749"/>
          <a:ext cx="1211036" cy="1257392"/>
        </a:xfrm>
        <a:prstGeom prst="rect">
          <a:avLst/>
        </a:prstGeom>
      </xdr:spPr>
    </xdr:pic>
    <xdr:clientData/>
  </xdr:twoCellAnchor>
  <xdr:twoCellAnchor editAs="oneCell">
    <xdr:from>
      <xdr:col>41</xdr:col>
      <xdr:colOff>149677</xdr:colOff>
      <xdr:row>17</xdr:row>
      <xdr:rowOff>136073</xdr:rowOff>
    </xdr:from>
    <xdr:to>
      <xdr:col>43</xdr:col>
      <xdr:colOff>259130</xdr:colOff>
      <xdr:row>21</xdr:row>
      <xdr:rowOff>258537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63106" y="5456466"/>
          <a:ext cx="735382" cy="1374321"/>
        </a:xfrm>
        <a:prstGeom prst="rect">
          <a:avLst/>
        </a:prstGeom>
      </xdr:spPr>
    </xdr:pic>
    <xdr:clientData/>
  </xdr:twoCellAnchor>
  <xdr:twoCellAnchor editAs="oneCell">
    <xdr:from>
      <xdr:col>39</xdr:col>
      <xdr:colOff>40822</xdr:colOff>
      <xdr:row>23</xdr:row>
      <xdr:rowOff>285751</xdr:rowOff>
    </xdr:from>
    <xdr:to>
      <xdr:col>45</xdr:col>
      <xdr:colOff>258424</xdr:colOff>
      <xdr:row>29</xdr:row>
      <xdr:rowOff>27216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8322" y="7483930"/>
          <a:ext cx="2231460" cy="1619250"/>
        </a:xfrm>
        <a:prstGeom prst="rect">
          <a:avLst/>
        </a:prstGeom>
      </xdr:spPr>
    </xdr:pic>
    <xdr:clientData/>
  </xdr:twoCellAnchor>
  <xdr:twoCellAnchor editAs="oneCell">
    <xdr:from>
      <xdr:col>36</xdr:col>
      <xdr:colOff>122465</xdr:colOff>
      <xdr:row>1</xdr:row>
      <xdr:rowOff>81644</xdr:rowOff>
    </xdr:from>
    <xdr:to>
      <xdr:col>46</xdr:col>
      <xdr:colOff>145953</xdr:colOff>
      <xdr:row>6</xdr:row>
      <xdr:rowOff>173598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1" y="394608"/>
          <a:ext cx="3697416" cy="1656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108857</xdr:colOff>
      <xdr:row>3</xdr:row>
      <xdr:rowOff>54428</xdr:rowOff>
    </xdr:from>
    <xdr:to>
      <xdr:col>5</xdr:col>
      <xdr:colOff>81643</xdr:colOff>
      <xdr:row>3</xdr:row>
      <xdr:rowOff>299357</xdr:rowOff>
    </xdr:to>
    <xdr:pic>
      <xdr:nvPicPr>
        <xdr:cNvPr id="19" name="Picture 18" descr="C:\Users\m.asghasem\Desktop\Capture4.JP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143" y="993321"/>
          <a:ext cx="993321" cy="2449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54428</xdr:colOff>
      <xdr:row>1</xdr:row>
      <xdr:rowOff>272143</xdr:rowOff>
    </xdr:from>
    <xdr:to>
      <xdr:col>33</xdr:col>
      <xdr:colOff>449037</xdr:colOff>
      <xdr:row>4</xdr:row>
      <xdr:rowOff>149678</xdr:rowOff>
    </xdr:to>
    <xdr:pic>
      <xdr:nvPicPr>
        <xdr:cNvPr id="21" name="Picture 20" descr="C:\Users\m.asghasem\Desktop\Capture5.JPG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5178" y="585107"/>
          <a:ext cx="5660573" cy="8164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302810</xdr:colOff>
      <xdr:row>2</xdr:row>
      <xdr:rowOff>9526</xdr:rowOff>
    </xdr:from>
    <xdr:to>
      <xdr:col>8</xdr:col>
      <xdr:colOff>248164</xdr:colOff>
      <xdr:row>6</xdr:row>
      <xdr:rowOff>123825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08210" y="390526"/>
          <a:ext cx="1955129" cy="876299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57</xdr:row>
      <xdr:rowOff>19049</xdr:rowOff>
    </xdr:from>
    <xdr:to>
      <xdr:col>7</xdr:col>
      <xdr:colOff>266700</xdr:colOff>
      <xdr:row>57</xdr:row>
      <xdr:rowOff>180974</xdr:rowOff>
    </xdr:to>
    <xdr:pic>
      <xdr:nvPicPr>
        <xdr:cNvPr id="4" name="Picture 3" descr="C:\Users\m.asghasem\Desktop\Capture1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2239624"/>
          <a:ext cx="2590800" cy="161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361950</xdr:colOff>
      <xdr:row>57</xdr:row>
      <xdr:rowOff>19051</xdr:rowOff>
    </xdr:from>
    <xdr:to>
      <xdr:col>4</xdr:col>
      <xdr:colOff>409575</xdr:colOff>
      <xdr:row>58</xdr:row>
      <xdr:rowOff>1</xdr:rowOff>
    </xdr:to>
    <xdr:pic>
      <xdr:nvPicPr>
        <xdr:cNvPr id="5" name="Picture 4" descr="C:\Users\m.asghasem\Desktop\Capture2.JP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2239626"/>
          <a:ext cx="1095375" cy="171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714375</xdr:colOff>
      <xdr:row>57</xdr:row>
      <xdr:rowOff>9525</xdr:rowOff>
    </xdr:from>
    <xdr:to>
      <xdr:col>3</xdr:col>
      <xdr:colOff>381000</xdr:colOff>
      <xdr:row>57</xdr:row>
      <xdr:rowOff>180975</xdr:rowOff>
    </xdr:to>
    <xdr:pic>
      <xdr:nvPicPr>
        <xdr:cNvPr id="6" name="Picture 5" descr="C:\Users\m.asghasem\Desktop\Capture3.JP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2230100"/>
          <a:ext cx="914400" cy="171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V42"/>
  <sheetViews>
    <sheetView tabSelected="1" topLeftCell="A7" zoomScale="70" zoomScaleNormal="70" workbookViewId="0">
      <selection activeCell="AI13" sqref="AI13"/>
    </sheetView>
  </sheetViews>
  <sheetFormatPr defaultRowHeight="24.95" customHeight="1" x14ac:dyDescent="0.25"/>
  <cols>
    <col min="2" max="4" width="4.7109375" customWidth="1"/>
    <col min="5" max="5" width="6" customWidth="1"/>
    <col min="6" max="6" width="8.7109375" customWidth="1"/>
    <col min="7" max="12" width="4.7109375" customWidth="1"/>
    <col min="13" max="13" width="5.7109375" customWidth="1"/>
    <col min="14" max="15" width="4.7109375" customWidth="1"/>
    <col min="16" max="16" width="8.7109375" customWidth="1"/>
    <col min="17" max="27" width="4.7109375" customWidth="1"/>
    <col min="28" max="28" width="3.42578125" customWidth="1"/>
    <col min="29" max="29" width="5.140625" customWidth="1"/>
    <col min="30" max="33" width="4.7109375" customWidth="1"/>
    <col min="34" max="37" width="8.7109375" customWidth="1"/>
    <col min="38" max="44" width="4.7109375" customWidth="1"/>
    <col min="45" max="46" width="6.7109375" customWidth="1"/>
    <col min="47" max="48" width="2.7109375" customWidth="1"/>
    <col min="253" max="304" width="3.7109375" customWidth="1"/>
    <col min="509" max="560" width="3.7109375" customWidth="1"/>
    <col min="765" max="816" width="3.7109375" customWidth="1"/>
    <col min="1021" max="1072" width="3.7109375" customWidth="1"/>
    <col min="1277" max="1328" width="3.7109375" customWidth="1"/>
    <col min="1533" max="1584" width="3.7109375" customWidth="1"/>
    <col min="1789" max="1840" width="3.7109375" customWidth="1"/>
    <col min="2045" max="2096" width="3.7109375" customWidth="1"/>
    <col min="2301" max="2352" width="3.7109375" customWidth="1"/>
    <col min="2557" max="2608" width="3.7109375" customWidth="1"/>
    <col min="2813" max="2864" width="3.7109375" customWidth="1"/>
    <col min="3069" max="3120" width="3.7109375" customWidth="1"/>
    <col min="3325" max="3376" width="3.7109375" customWidth="1"/>
    <col min="3581" max="3632" width="3.7109375" customWidth="1"/>
    <col min="3837" max="3888" width="3.7109375" customWidth="1"/>
    <col min="4093" max="4144" width="3.7109375" customWidth="1"/>
    <col min="4349" max="4400" width="3.7109375" customWidth="1"/>
    <col min="4605" max="4656" width="3.7109375" customWidth="1"/>
    <col min="4861" max="4912" width="3.7109375" customWidth="1"/>
    <col min="5117" max="5168" width="3.7109375" customWidth="1"/>
    <col min="5373" max="5424" width="3.7109375" customWidth="1"/>
    <col min="5629" max="5680" width="3.7109375" customWidth="1"/>
    <col min="5885" max="5936" width="3.7109375" customWidth="1"/>
    <col min="6141" max="6192" width="3.7109375" customWidth="1"/>
    <col min="6397" max="6448" width="3.7109375" customWidth="1"/>
    <col min="6653" max="6704" width="3.7109375" customWidth="1"/>
    <col min="6909" max="6960" width="3.7109375" customWidth="1"/>
    <col min="7165" max="7216" width="3.7109375" customWidth="1"/>
    <col min="7421" max="7472" width="3.7109375" customWidth="1"/>
    <col min="7677" max="7728" width="3.7109375" customWidth="1"/>
    <col min="7933" max="7984" width="3.7109375" customWidth="1"/>
    <col min="8189" max="8240" width="3.7109375" customWidth="1"/>
    <col min="8445" max="8496" width="3.7109375" customWidth="1"/>
    <col min="8701" max="8752" width="3.7109375" customWidth="1"/>
    <col min="8957" max="9008" width="3.7109375" customWidth="1"/>
    <col min="9213" max="9264" width="3.7109375" customWidth="1"/>
    <col min="9469" max="9520" width="3.7109375" customWidth="1"/>
    <col min="9725" max="9776" width="3.7109375" customWidth="1"/>
    <col min="9981" max="10032" width="3.7109375" customWidth="1"/>
    <col min="10237" max="10288" width="3.7109375" customWidth="1"/>
    <col min="10493" max="10544" width="3.7109375" customWidth="1"/>
    <col min="10749" max="10800" width="3.7109375" customWidth="1"/>
    <col min="11005" max="11056" width="3.7109375" customWidth="1"/>
    <col min="11261" max="11312" width="3.7109375" customWidth="1"/>
    <col min="11517" max="11568" width="3.7109375" customWidth="1"/>
    <col min="11773" max="11824" width="3.7109375" customWidth="1"/>
    <col min="12029" max="12080" width="3.7109375" customWidth="1"/>
    <col min="12285" max="12336" width="3.7109375" customWidth="1"/>
    <col min="12541" max="12592" width="3.7109375" customWidth="1"/>
    <col min="12797" max="12848" width="3.7109375" customWidth="1"/>
    <col min="13053" max="13104" width="3.7109375" customWidth="1"/>
    <col min="13309" max="13360" width="3.7109375" customWidth="1"/>
    <col min="13565" max="13616" width="3.7109375" customWidth="1"/>
    <col min="13821" max="13872" width="3.7109375" customWidth="1"/>
    <col min="14077" max="14128" width="3.7109375" customWidth="1"/>
    <col min="14333" max="14384" width="3.7109375" customWidth="1"/>
    <col min="14589" max="14640" width="3.7109375" customWidth="1"/>
    <col min="14845" max="14896" width="3.7109375" customWidth="1"/>
    <col min="15101" max="15152" width="3.7109375" customWidth="1"/>
    <col min="15357" max="15408" width="3.7109375" customWidth="1"/>
    <col min="15613" max="15664" width="3.7109375" customWidth="1"/>
    <col min="15869" max="15920" width="3.7109375" customWidth="1"/>
    <col min="16125" max="16176" width="3.7109375" customWidth="1"/>
  </cols>
  <sheetData>
    <row r="1" spans="2:48" ht="24.95" customHeight="1" thickBot="1" x14ac:dyDescent="0.3"/>
    <row r="2" spans="2:48" ht="24.75" customHeight="1" x14ac:dyDescent="0.25">
      <c r="B2" s="14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56"/>
    </row>
    <row r="3" spans="2:48" ht="24.95" customHeight="1" x14ac:dyDescent="0.55000000000000004">
      <c r="B3" s="16"/>
      <c r="C3" s="180"/>
      <c r="D3" s="180"/>
      <c r="E3" s="182"/>
      <c r="F3" s="181"/>
      <c r="G3" s="181"/>
      <c r="H3" s="181"/>
      <c r="I3" s="181"/>
      <c r="J3" s="181"/>
      <c r="K3" s="181"/>
      <c r="L3" s="181"/>
      <c r="M3" s="181" t="s">
        <v>170</v>
      </c>
      <c r="P3" s="2"/>
      <c r="Q3" s="2"/>
      <c r="R3" s="185"/>
      <c r="S3" s="185"/>
      <c r="T3" s="185"/>
      <c r="U3" s="185"/>
      <c r="V3" s="185"/>
      <c r="W3" s="185"/>
      <c r="AG3" s="2"/>
      <c r="AH3" s="2"/>
      <c r="AM3" s="2"/>
      <c r="AN3" s="2"/>
      <c r="AO3" s="2"/>
      <c r="AP3" s="2"/>
      <c r="AQ3" s="2"/>
      <c r="AR3" s="2"/>
      <c r="AS3" s="2"/>
      <c r="AT3" s="2"/>
      <c r="AU3" s="2"/>
      <c r="AV3" s="89"/>
    </row>
    <row r="4" spans="2:48" ht="24.95" customHeight="1" x14ac:dyDescent="0.55000000000000004">
      <c r="B4" s="16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1" t="s">
        <v>171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89"/>
    </row>
    <row r="5" spans="2:48" ht="24.95" customHeight="1" x14ac:dyDescent="0.35">
      <c r="B5" s="16"/>
      <c r="K5" s="184"/>
      <c r="L5" s="184"/>
      <c r="M5" s="184"/>
      <c r="N5" s="183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89"/>
    </row>
    <row r="6" spans="2:48" ht="24.95" customHeight="1" x14ac:dyDescent="0.25">
      <c r="B6" s="16"/>
      <c r="C6" s="2"/>
      <c r="D6" s="2"/>
      <c r="E6" s="2"/>
      <c r="F6" s="159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179"/>
      <c r="U6" s="2"/>
      <c r="V6" s="186"/>
      <c r="W6" s="186"/>
      <c r="X6" s="186"/>
      <c r="Y6" s="186"/>
      <c r="Z6" s="186"/>
      <c r="AA6" s="187"/>
      <c r="AB6" s="187"/>
      <c r="AC6" s="187"/>
      <c r="AD6" s="187" t="s">
        <v>172</v>
      </c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89"/>
    </row>
    <row r="7" spans="2:48" ht="24.95" customHeight="1" thickBot="1" x14ac:dyDescent="0.3">
      <c r="B7" s="17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59"/>
    </row>
    <row r="8" spans="2:48" ht="24.95" customHeight="1" x14ac:dyDescent="0.55000000000000004">
      <c r="B8" s="14"/>
      <c r="C8" s="15"/>
      <c r="D8" s="15"/>
      <c r="E8" s="88" t="str">
        <f ca="1">IF(NICSACO.COM!G3,NICSACO.COM!H2,NICSACO.COM!H3)</f>
        <v>نام شرکت را حتما وارد کنید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56"/>
      <c r="X8" s="14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56"/>
    </row>
    <row r="9" spans="2:48" ht="24.95" customHeight="1" x14ac:dyDescent="0.55000000000000004">
      <c r="B9" s="16"/>
      <c r="C9" s="2"/>
      <c r="D9" s="52"/>
      <c r="E9" s="52"/>
      <c r="F9" s="53" t="s">
        <v>51</v>
      </c>
      <c r="G9" s="52"/>
      <c r="H9" s="5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6" t="s">
        <v>19</v>
      </c>
      <c r="W9" s="89"/>
      <c r="X9" s="16"/>
      <c r="Y9" s="2"/>
      <c r="Z9" s="65" t="s">
        <v>54</v>
      </c>
      <c r="AA9" s="52"/>
      <c r="AB9" s="52"/>
      <c r="AC9" s="52"/>
      <c r="AD9" s="52"/>
      <c r="AE9" s="52"/>
      <c r="AF9" s="5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6" t="s">
        <v>22</v>
      </c>
      <c r="AV9" s="89"/>
    </row>
    <row r="10" spans="2:48" ht="24.95" customHeight="1" x14ac:dyDescent="0.7">
      <c r="B10" s="16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5" t="s">
        <v>20</v>
      </c>
      <c r="W10" s="89"/>
      <c r="X10" s="16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5" t="s">
        <v>148</v>
      </c>
      <c r="AV10" s="89"/>
    </row>
    <row r="11" spans="2:48" ht="24.95" customHeight="1" thickBot="1" x14ac:dyDescent="0.75">
      <c r="B11" s="16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5" t="s">
        <v>21</v>
      </c>
      <c r="W11" s="89"/>
      <c r="X11" s="16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5" t="s">
        <v>55</v>
      </c>
      <c r="AV11" s="89"/>
    </row>
    <row r="12" spans="2:48" ht="24.95" customHeight="1" thickBot="1" x14ac:dyDescent="0.75">
      <c r="B12" s="16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5"/>
      <c r="W12" s="89"/>
      <c r="X12" s="16"/>
      <c r="Y12" s="2"/>
      <c r="Z12" s="2"/>
      <c r="AA12" s="2"/>
      <c r="AB12" s="2"/>
      <c r="AC12" s="2"/>
      <c r="AD12" s="2"/>
      <c r="AE12" s="2"/>
      <c r="AF12" s="2"/>
      <c r="AG12" s="2"/>
      <c r="AH12" s="79" t="s">
        <v>2</v>
      </c>
      <c r="AI12" s="80" t="s">
        <v>3</v>
      </c>
      <c r="AJ12" s="80" t="s">
        <v>4</v>
      </c>
      <c r="AK12" s="81" t="s">
        <v>5</v>
      </c>
      <c r="AL12" s="76"/>
      <c r="AM12" s="77"/>
      <c r="AN12" s="77"/>
      <c r="AO12" s="2"/>
      <c r="AP12" s="2"/>
      <c r="AQ12" s="2"/>
      <c r="AR12" s="2"/>
      <c r="AS12" s="2"/>
      <c r="AT12" s="2"/>
      <c r="AU12" s="5"/>
      <c r="AV12" s="89"/>
    </row>
    <row r="13" spans="2:48" ht="24.95" customHeight="1" thickBot="1" x14ac:dyDescent="0.3">
      <c r="B13" s="16"/>
      <c r="C13" s="2"/>
      <c r="D13" s="2"/>
      <c r="E13" s="2"/>
      <c r="F13" s="19"/>
      <c r="G13" s="30"/>
      <c r="H13" s="31" t="s">
        <v>23</v>
      </c>
      <c r="I13" s="11"/>
      <c r="J13" s="12"/>
      <c r="K13" s="2"/>
      <c r="L13" s="2"/>
      <c r="M13" s="2"/>
      <c r="N13" s="2"/>
      <c r="O13" s="2"/>
      <c r="P13" s="19"/>
      <c r="Q13" s="11"/>
      <c r="R13" s="31" t="s">
        <v>28</v>
      </c>
      <c r="S13" s="11"/>
      <c r="T13" s="12"/>
      <c r="U13" s="2"/>
      <c r="V13" s="2"/>
      <c r="W13" s="89"/>
      <c r="X13" s="16"/>
      <c r="Y13" s="2"/>
      <c r="Z13" s="2"/>
      <c r="AA13" s="2"/>
      <c r="AB13" s="2"/>
      <c r="AC13" s="62"/>
      <c r="AD13" s="27"/>
      <c r="AE13" s="41"/>
      <c r="AF13" s="41"/>
      <c r="AG13" s="63" t="s">
        <v>53</v>
      </c>
      <c r="AH13" s="73">
        <f ca="1">N40</f>
        <v>364</v>
      </c>
      <c r="AI13" s="86">
        <f ca="1">P40</f>
        <v>174</v>
      </c>
      <c r="AJ13" s="73">
        <f ca="1">Q40</f>
        <v>79</v>
      </c>
      <c r="AK13" s="74">
        <f ca="1">S40</f>
        <v>18</v>
      </c>
      <c r="AL13" s="68"/>
      <c r="AM13" s="69"/>
      <c r="AN13" s="69"/>
      <c r="AO13" s="2"/>
      <c r="AP13" s="2"/>
      <c r="AQ13" s="2"/>
      <c r="AR13" s="2"/>
      <c r="AS13" s="2"/>
      <c r="AT13" s="2"/>
      <c r="AU13" s="2"/>
      <c r="AV13" s="89"/>
    </row>
    <row r="14" spans="2:48" ht="24.95" customHeight="1" thickBot="1" x14ac:dyDescent="0.3">
      <c r="B14" s="16"/>
      <c r="C14" s="2"/>
      <c r="D14" s="2"/>
      <c r="E14" s="2"/>
      <c r="F14" s="20" t="s">
        <v>25</v>
      </c>
      <c r="G14" s="9" t="s">
        <v>2</v>
      </c>
      <c r="H14" s="9" t="s">
        <v>3</v>
      </c>
      <c r="I14" s="10" t="s">
        <v>4</v>
      </c>
      <c r="J14" s="13" t="s">
        <v>5</v>
      </c>
      <c r="K14" s="2"/>
      <c r="L14" s="2"/>
      <c r="M14" s="2"/>
      <c r="N14" s="2"/>
      <c r="O14" s="2"/>
      <c r="P14" s="20" t="s">
        <v>25</v>
      </c>
      <c r="Q14" s="9" t="s">
        <v>2</v>
      </c>
      <c r="R14" s="9" t="s">
        <v>3</v>
      </c>
      <c r="S14" s="10" t="s">
        <v>4</v>
      </c>
      <c r="T14" s="13" t="s">
        <v>5</v>
      </c>
      <c r="U14" s="2"/>
      <c r="V14" s="2"/>
      <c r="W14" s="89"/>
      <c r="X14" s="16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84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89"/>
    </row>
    <row r="15" spans="2:48" ht="24.95" customHeight="1" thickBot="1" x14ac:dyDescent="0.3">
      <c r="B15" s="16"/>
      <c r="C15" s="32"/>
      <c r="D15" s="33"/>
      <c r="E15" s="34" t="s">
        <v>11</v>
      </c>
      <c r="F15" s="46">
        <v>20</v>
      </c>
      <c r="G15" s="46">
        <f>NICSACO.COM!K7</f>
        <v>3</v>
      </c>
      <c r="H15" s="46">
        <f>NICSACO.COM!L7</f>
        <v>1</v>
      </c>
      <c r="I15" s="46">
        <f>NICSACO.COM!M7</f>
        <v>0</v>
      </c>
      <c r="J15" s="47"/>
      <c r="K15" s="2"/>
      <c r="L15" s="2"/>
      <c r="M15" s="32"/>
      <c r="N15" s="33"/>
      <c r="O15" s="34" t="s">
        <v>29</v>
      </c>
      <c r="P15" s="46">
        <v>25</v>
      </c>
      <c r="Q15" s="46">
        <f>NICSACO.COM!K13</f>
        <v>0</v>
      </c>
      <c r="R15" s="46">
        <f>NICSACO.COM!L13</f>
        <v>0</v>
      </c>
      <c r="S15" s="46">
        <f>NICSACO.COM!M13</f>
        <v>1</v>
      </c>
      <c r="T15" s="47"/>
      <c r="U15" s="2"/>
      <c r="V15" s="2"/>
      <c r="W15" s="89"/>
      <c r="X15" s="16"/>
      <c r="Y15" s="2"/>
      <c r="Z15" s="2"/>
      <c r="AA15" s="2"/>
      <c r="AB15" s="2"/>
      <c r="AC15" s="70"/>
      <c r="AD15" s="2"/>
      <c r="AE15" s="2"/>
      <c r="AF15" s="2"/>
      <c r="AG15" s="2"/>
      <c r="AH15" s="24"/>
      <c r="AI15" s="87" t="s">
        <v>69</v>
      </c>
      <c r="AJ15" s="2"/>
      <c r="AK15" s="32"/>
      <c r="AL15" s="60"/>
      <c r="AM15" s="91" t="s">
        <v>70</v>
      </c>
      <c r="AN15" s="2"/>
      <c r="AO15" s="2"/>
      <c r="AP15" s="2"/>
      <c r="AQ15" s="2"/>
      <c r="AR15" s="2"/>
      <c r="AS15" s="2"/>
      <c r="AT15" s="2"/>
      <c r="AU15" s="2"/>
      <c r="AV15" s="89"/>
    </row>
    <row r="16" spans="2:48" ht="24.95" customHeight="1" thickBot="1" x14ac:dyDescent="0.3">
      <c r="B16" s="16"/>
      <c r="C16" s="35"/>
      <c r="D16" s="36"/>
      <c r="E16" s="37" t="s">
        <v>12</v>
      </c>
      <c r="F16" s="46">
        <v>0</v>
      </c>
      <c r="G16" s="46">
        <f>NICSACO.COM!K8</f>
        <v>3</v>
      </c>
      <c r="H16" s="46">
        <f>NICSACO.COM!L8</f>
        <v>2</v>
      </c>
      <c r="I16" s="46">
        <f>NICSACO.COM!M8</f>
        <v>0</v>
      </c>
      <c r="J16" s="47"/>
      <c r="K16" s="2"/>
      <c r="L16" s="2"/>
      <c r="M16" s="35"/>
      <c r="N16" s="36"/>
      <c r="O16" s="37" t="s">
        <v>30</v>
      </c>
      <c r="P16" s="46">
        <v>33</v>
      </c>
      <c r="Q16" s="46">
        <f>NICSACO.COM!K14</f>
        <v>1</v>
      </c>
      <c r="R16" s="46">
        <f>NICSACO.COM!L14</f>
        <v>0</v>
      </c>
      <c r="S16" s="46">
        <v>1</v>
      </c>
      <c r="T16" s="47"/>
      <c r="U16" s="2"/>
      <c r="V16" s="2"/>
      <c r="W16" s="89"/>
      <c r="X16" s="16"/>
      <c r="Y16" s="2"/>
      <c r="Z16" s="2"/>
      <c r="AA16" s="2"/>
      <c r="AB16" s="2"/>
      <c r="AC16" s="70"/>
      <c r="AD16" s="2"/>
      <c r="AE16" s="2"/>
      <c r="AF16" s="2"/>
      <c r="AG16" s="2"/>
      <c r="AH16" s="26"/>
      <c r="AI16" s="87"/>
      <c r="AJ16" s="2"/>
      <c r="AK16" s="84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89"/>
    </row>
    <row r="17" spans="2:48" ht="24.95" customHeight="1" x14ac:dyDescent="0.25">
      <c r="B17" s="16"/>
      <c r="C17" s="35"/>
      <c r="D17" s="36"/>
      <c r="E17" s="37" t="s">
        <v>13</v>
      </c>
      <c r="F17" s="46">
        <v>10</v>
      </c>
      <c r="G17" s="46">
        <f>NICSACO.COM!K9</f>
        <v>4</v>
      </c>
      <c r="H17" s="46">
        <f>NICSACO.COM!L9</f>
        <v>2</v>
      </c>
      <c r="I17" s="46">
        <f>NICSACO.COM!M9</f>
        <v>0</v>
      </c>
      <c r="J17" s="47"/>
      <c r="K17" s="2"/>
      <c r="L17" s="2"/>
      <c r="M17" s="35"/>
      <c r="N17" s="36"/>
      <c r="O17" s="37" t="s">
        <v>31</v>
      </c>
      <c r="P17" s="46">
        <v>2</v>
      </c>
      <c r="Q17" s="46">
        <f>NICSACO.COM!K15</f>
        <v>2</v>
      </c>
      <c r="R17" s="46">
        <f>NICSACO.COM!L15</f>
        <v>0</v>
      </c>
      <c r="S17" s="46">
        <v>1</v>
      </c>
      <c r="T17" s="47"/>
      <c r="U17" s="2"/>
      <c r="V17" s="2"/>
      <c r="W17" s="89"/>
      <c r="X17" s="16"/>
      <c r="Y17" s="2"/>
      <c r="Z17" s="2"/>
      <c r="AA17" s="2"/>
      <c r="AB17" s="2"/>
      <c r="AC17" s="148" t="s">
        <v>140</v>
      </c>
      <c r="AD17" s="33"/>
      <c r="AE17" s="33"/>
      <c r="AF17" s="137"/>
      <c r="AG17" s="137" t="s">
        <v>2</v>
      </c>
      <c r="AH17" s="143">
        <v>32</v>
      </c>
      <c r="AI17" s="21">
        <f ca="1">NICSACO.COM!E44</f>
        <v>11</v>
      </c>
      <c r="AJ17" s="2"/>
      <c r="AK17" s="85">
        <f ca="1">AI17</f>
        <v>11</v>
      </c>
      <c r="AL17" s="2"/>
      <c r="AM17" s="2"/>
      <c r="AN17" s="2"/>
      <c r="AO17" s="70" t="s">
        <v>86</v>
      </c>
      <c r="AQ17" s="2"/>
      <c r="AR17" s="2"/>
      <c r="AS17" s="2"/>
      <c r="AT17" s="2"/>
      <c r="AU17" s="2"/>
      <c r="AV17" s="89"/>
    </row>
    <row r="18" spans="2:48" ht="24.95" customHeight="1" x14ac:dyDescent="0.25">
      <c r="B18" s="16"/>
      <c r="C18" s="35"/>
      <c r="D18" s="36"/>
      <c r="E18" s="37" t="s">
        <v>14</v>
      </c>
      <c r="F18" s="46">
        <v>0</v>
      </c>
      <c r="G18" s="46">
        <f>NICSACO.COM!K10</f>
        <v>4</v>
      </c>
      <c r="H18" s="46">
        <f>NICSACO.COM!L10</f>
        <v>3</v>
      </c>
      <c r="I18" s="46">
        <f>NICSACO.COM!M10</f>
        <v>0</v>
      </c>
      <c r="J18" s="47"/>
      <c r="K18" s="2"/>
      <c r="L18" s="2"/>
      <c r="M18" s="35"/>
      <c r="N18" s="36"/>
      <c r="O18" s="37" t="s">
        <v>32</v>
      </c>
      <c r="P18" s="46">
        <v>0</v>
      </c>
      <c r="Q18" s="46">
        <f>NICSACO.COM!K16</f>
        <v>2</v>
      </c>
      <c r="R18" s="46">
        <f>NICSACO.COM!L16</f>
        <v>0</v>
      </c>
      <c r="S18" s="46">
        <f>NICSACO.COM!M16</f>
        <v>1</v>
      </c>
      <c r="T18" s="47"/>
      <c r="U18" s="2"/>
      <c r="V18" s="2"/>
      <c r="W18" s="89"/>
      <c r="X18" s="16"/>
      <c r="Y18" s="2"/>
      <c r="Z18" s="2"/>
      <c r="AA18" s="2"/>
      <c r="AB18" s="2"/>
      <c r="AC18" s="139" t="s">
        <v>141</v>
      </c>
      <c r="AD18" s="36"/>
      <c r="AE18" s="36"/>
      <c r="AF18" s="133"/>
      <c r="AG18" s="133" t="s">
        <v>2</v>
      </c>
      <c r="AH18" s="144">
        <v>16</v>
      </c>
      <c r="AI18" s="21">
        <f ca="1">NICSACO.COM!E45</f>
        <v>1</v>
      </c>
      <c r="AJ18" s="2"/>
      <c r="AK18" s="85">
        <f ca="1">AI18</f>
        <v>1</v>
      </c>
      <c r="AL18" s="2"/>
      <c r="AM18" s="2"/>
      <c r="AN18" s="2"/>
      <c r="AO18" s="2"/>
      <c r="AQ18" s="2"/>
      <c r="AR18" s="2"/>
      <c r="AS18" s="2"/>
      <c r="AT18" s="2"/>
      <c r="AU18" s="2"/>
      <c r="AV18" s="89"/>
    </row>
    <row r="19" spans="2:48" ht="24.95" customHeight="1" thickBot="1" x14ac:dyDescent="0.3">
      <c r="B19" s="16"/>
      <c r="C19" s="38"/>
      <c r="D19" s="39"/>
      <c r="E19" s="40" t="s">
        <v>24</v>
      </c>
      <c r="F19" s="48"/>
      <c r="G19" s="48"/>
      <c r="H19" s="48"/>
      <c r="I19" s="48"/>
      <c r="J19" s="49"/>
      <c r="K19" s="2"/>
      <c r="L19" s="2"/>
      <c r="M19" s="38"/>
      <c r="N19" s="39"/>
      <c r="O19" s="40" t="s">
        <v>33</v>
      </c>
      <c r="P19" s="48"/>
      <c r="Q19" s="48"/>
      <c r="R19" s="48"/>
      <c r="S19" s="48"/>
      <c r="T19" s="49"/>
      <c r="U19" s="2"/>
      <c r="V19" s="2"/>
      <c r="W19" s="89"/>
      <c r="X19" s="16"/>
      <c r="Y19" s="2"/>
      <c r="Z19" s="2"/>
      <c r="AA19" s="2"/>
      <c r="AB19" s="2"/>
      <c r="AC19" s="149" t="s">
        <v>141</v>
      </c>
      <c r="AD19" s="1"/>
      <c r="AE19" s="1"/>
      <c r="AF19" s="134"/>
      <c r="AG19" s="134" t="s">
        <v>2</v>
      </c>
      <c r="AH19" s="145">
        <v>8</v>
      </c>
      <c r="AI19" s="21">
        <f ca="1">NICSACO.COM!E46</f>
        <v>0</v>
      </c>
      <c r="AJ19" s="2"/>
      <c r="AK19" s="85">
        <f t="shared" ref="AK18:AK19" ca="1" si="0">AI19</f>
        <v>0</v>
      </c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89"/>
    </row>
    <row r="20" spans="2:48" ht="24.95" customHeight="1" thickBot="1" x14ac:dyDescent="0.3">
      <c r="B20" s="16"/>
      <c r="C20" s="24"/>
      <c r="D20" s="25"/>
      <c r="E20" s="29" t="s">
        <v>26</v>
      </c>
      <c r="F20" s="28"/>
      <c r="G20" s="41">
        <f ca="1">NICSACO.COM!E12</f>
        <v>100</v>
      </c>
      <c r="H20" s="41">
        <f ca="1">NICSACO.COM!F12</f>
        <v>40</v>
      </c>
      <c r="I20" s="41">
        <f ca="1">NICSACO.COM!G12</f>
        <v>0</v>
      </c>
      <c r="J20" s="42">
        <f ca="1">NICSACO.COM!H12</f>
        <v>0</v>
      </c>
      <c r="K20" s="2"/>
      <c r="L20" s="2"/>
      <c r="M20" s="24"/>
      <c r="N20" s="25"/>
      <c r="O20" s="29" t="s">
        <v>27</v>
      </c>
      <c r="P20" s="28"/>
      <c r="Q20" s="41">
        <f ca="1">NICSACO.COM!E18</f>
        <v>37</v>
      </c>
      <c r="R20" s="41">
        <f ca="1">NICSACO.COM!F18</f>
        <v>0</v>
      </c>
      <c r="S20" s="41">
        <f ca="1">NICSACO.COM!G18</f>
        <v>60</v>
      </c>
      <c r="T20" s="42">
        <f ca="1">NICSACO.COM!H18</f>
        <v>0</v>
      </c>
      <c r="U20" s="2"/>
      <c r="V20" s="2"/>
      <c r="W20" s="89"/>
      <c r="X20" s="16"/>
      <c r="Y20" s="2"/>
      <c r="Z20" s="2"/>
      <c r="AA20" s="2"/>
      <c r="AB20" s="2"/>
      <c r="AC20" s="71"/>
      <c r="AD20" s="25"/>
      <c r="AE20" s="25"/>
      <c r="AF20" s="25"/>
      <c r="AG20" s="138"/>
      <c r="AH20" s="94"/>
      <c r="AI20" s="72"/>
      <c r="AJ20" s="2"/>
      <c r="AK20" s="128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89"/>
    </row>
    <row r="21" spans="2:48" ht="24.95" customHeight="1" x14ac:dyDescent="0.25">
      <c r="B21" s="16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89"/>
      <c r="X21" s="16"/>
      <c r="Y21" s="2"/>
      <c r="Z21" s="2"/>
      <c r="AA21" s="2"/>
      <c r="AB21" s="2"/>
      <c r="AC21" s="150" t="s">
        <v>142</v>
      </c>
      <c r="AD21" s="3"/>
      <c r="AE21" s="3"/>
      <c r="AF21" s="3"/>
      <c r="AG21" s="135" t="s">
        <v>3</v>
      </c>
      <c r="AH21" s="146">
        <v>32</v>
      </c>
      <c r="AI21" s="21">
        <f ca="1">NICSACO.COM!F44</f>
        <v>5</v>
      </c>
      <c r="AJ21" s="2"/>
      <c r="AK21" s="85">
        <f ca="1">AI21</f>
        <v>5</v>
      </c>
      <c r="AL21" s="2"/>
      <c r="AM21" s="2"/>
      <c r="AN21" s="2"/>
      <c r="AO21" s="70"/>
      <c r="AP21" s="2"/>
      <c r="AQ21" s="2"/>
      <c r="AR21" s="2"/>
      <c r="AS21" s="2"/>
      <c r="AT21" s="2"/>
      <c r="AU21" s="2"/>
      <c r="AV21" s="89"/>
    </row>
    <row r="22" spans="2:48" ht="24.95" customHeight="1" x14ac:dyDescent="0.25">
      <c r="B22" s="16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89"/>
      <c r="X22" s="16"/>
      <c r="Y22" s="2"/>
      <c r="Z22" s="2"/>
      <c r="AA22" s="2"/>
      <c r="AB22" s="2"/>
      <c r="AC22" s="139" t="s">
        <v>143</v>
      </c>
      <c r="AD22" s="36"/>
      <c r="AE22" s="36"/>
      <c r="AF22" s="36"/>
      <c r="AG22" s="133" t="s">
        <v>3</v>
      </c>
      <c r="AH22" s="144">
        <v>16</v>
      </c>
      <c r="AI22" s="21">
        <f ca="1">NICSACO.COM!F45</f>
        <v>1</v>
      </c>
      <c r="AJ22" s="2"/>
      <c r="AK22" s="85">
        <f t="shared" ref="AK22:AK23" ca="1" si="1">AI22</f>
        <v>1</v>
      </c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89"/>
    </row>
    <row r="23" spans="2:48" ht="24.95" customHeight="1" thickBot="1" x14ac:dyDescent="0.3">
      <c r="B23" s="16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89"/>
      <c r="X23" s="16"/>
      <c r="Y23" s="2"/>
      <c r="Z23" s="2"/>
      <c r="AA23" s="2"/>
      <c r="AB23" s="2"/>
      <c r="AC23" s="149" t="s">
        <v>142</v>
      </c>
      <c r="AD23" s="1"/>
      <c r="AE23" s="1"/>
      <c r="AF23" s="1"/>
      <c r="AG23" s="134" t="s">
        <v>3</v>
      </c>
      <c r="AH23" s="145">
        <v>8</v>
      </c>
      <c r="AI23" s="21">
        <f ca="1">NICSACO.COM!F46</f>
        <v>0</v>
      </c>
      <c r="AJ23" s="2"/>
      <c r="AK23" s="85">
        <f t="shared" ca="1" si="1"/>
        <v>0</v>
      </c>
      <c r="AL23" s="2"/>
      <c r="AM23" s="2"/>
      <c r="AN23" s="2"/>
      <c r="AO23" s="70" t="s">
        <v>87</v>
      </c>
      <c r="AQ23" s="2"/>
      <c r="AR23" s="2"/>
      <c r="AS23" s="2"/>
      <c r="AT23" s="2"/>
      <c r="AU23" s="2"/>
      <c r="AV23" s="89"/>
    </row>
    <row r="24" spans="2:48" ht="24.95" customHeight="1" thickBot="1" x14ac:dyDescent="0.35">
      <c r="B24" s="16"/>
      <c r="C24" s="2"/>
      <c r="D24" s="2"/>
      <c r="E24" s="2"/>
      <c r="F24" s="19"/>
      <c r="G24" s="30"/>
      <c r="H24" s="31" t="s">
        <v>34</v>
      </c>
      <c r="I24" s="11"/>
      <c r="J24" s="12"/>
      <c r="K24" s="2"/>
      <c r="L24" s="2"/>
      <c r="M24" s="2"/>
      <c r="N24" s="43" t="s">
        <v>48</v>
      </c>
      <c r="O24" s="2"/>
      <c r="P24" s="19"/>
      <c r="Q24" s="11"/>
      <c r="R24" s="31" t="s">
        <v>47</v>
      </c>
      <c r="S24" s="11"/>
      <c r="T24" s="12"/>
      <c r="U24" s="2"/>
      <c r="V24" s="2"/>
      <c r="W24" s="89"/>
      <c r="X24" s="16"/>
      <c r="Y24" s="2"/>
      <c r="Z24" s="2"/>
      <c r="AA24" s="2"/>
      <c r="AB24" s="2"/>
      <c r="AC24" s="71"/>
      <c r="AD24" s="25"/>
      <c r="AE24" s="25"/>
      <c r="AF24" s="25"/>
      <c r="AG24" s="138"/>
      <c r="AH24" s="94"/>
      <c r="AI24" s="72"/>
      <c r="AJ24" s="2"/>
      <c r="AK24" s="128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89"/>
    </row>
    <row r="25" spans="2:48" ht="24.95" customHeight="1" thickBot="1" x14ac:dyDescent="0.3">
      <c r="B25" s="16"/>
      <c r="C25" s="2"/>
      <c r="D25" s="2"/>
      <c r="E25" s="2"/>
      <c r="F25" s="20" t="s">
        <v>25</v>
      </c>
      <c r="G25" s="9" t="s">
        <v>2</v>
      </c>
      <c r="H25" s="9" t="s">
        <v>3</v>
      </c>
      <c r="I25" s="10" t="s">
        <v>4</v>
      </c>
      <c r="J25" s="13" t="s">
        <v>5</v>
      </c>
      <c r="K25" s="2"/>
      <c r="L25" s="2"/>
      <c r="M25" s="2"/>
      <c r="N25" s="2"/>
      <c r="O25" s="2"/>
      <c r="P25" s="20" t="s">
        <v>25</v>
      </c>
      <c r="Q25" s="9" t="s">
        <v>2</v>
      </c>
      <c r="R25" s="9" t="s">
        <v>3</v>
      </c>
      <c r="S25" s="10" t="s">
        <v>4</v>
      </c>
      <c r="T25" s="13" t="s">
        <v>5</v>
      </c>
      <c r="U25" s="2"/>
      <c r="V25" s="2"/>
      <c r="W25" s="89"/>
      <c r="X25" s="16"/>
      <c r="Y25" s="2"/>
      <c r="Z25" s="2"/>
      <c r="AA25" s="2"/>
      <c r="AB25" s="2"/>
      <c r="AC25" s="150" t="s">
        <v>144</v>
      </c>
      <c r="AD25" s="3"/>
      <c r="AE25" s="3"/>
      <c r="AF25" s="3"/>
      <c r="AG25" s="135" t="s">
        <v>4</v>
      </c>
      <c r="AH25" s="146">
        <v>8</v>
      </c>
      <c r="AI25" s="21">
        <f ca="1">NICSACO.COM!G44</f>
        <v>10</v>
      </c>
      <c r="AJ25" s="2"/>
      <c r="AK25" s="85">
        <f ca="1">AI25</f>
        <v>10</v>
      </c>
      <c r="AL25" s="2"/>
      <c r="AM25" s="2"/>
      <c r="AN25" s="2"/>
      <c r="AP25" s="2"/>
      <c r="AQ25" s="2"/>
      <c r="AR25" s="2"/>
      <c r="AS25" s="2"/>
      <c r="AT25" s="2"/>
      <c r="AU25" s="2"/>
      <c r="AV25" s="89"/>
    </row>
    <row r="26" spans="2:48" ht="24.95" customHeight="1" x14ac:dyDescent="0.25">
      <c r="B26" s="16"/>
      <c r="C26" s="32"/>
      <c r="D26" s="33"/>
      <c r="E26" s="34" t="s">
        <v>35</v>
      </c>
      <c r="F26" s="46">
        <v>55</v>
      </c>
      <c r="G26" s="46">
        <v>0</v>
      </c>
      <c r="H26" s="46">
        <f>NICSACO.COM!L19</f>
        <v>1</v>
      </c>
      <c r="I26" s="46">
        <f>NICSACO.COM!M19</f>
        <v>0</v>
      </c>
      <c r="J26" s="47"/>
      <c r="K26" s="2"/>
      <c r="L26" s="2"/>
      <c r="M26" s="32"/>
      <c r="N26" s="33"/>
      <c r="O26" s="34" t="s">
        <v>42</v>
      </c>
      <c r="P26" s="46">
        <v>3</v>
      </c>
      <c r="Q26" s="46">
        <v>2</v>
      </c>
      <c r="R26" s="46"/>
      <c r="S26" s="46">
        <v>2</v>
      </c>
      <c r="T26" s="47">
        <v>5</v>
      </c>
      <c r="U26" s="2"/>
      <c r="V26" s="2"/>
      <c r="W26" s="89"/>
      <c r="X26" s="16"/>
      <c r="Y26" s="2"/>
      <c r="Z26" s="2"/>
      <c r="AA26" s="2"/>
      <c r="AB26" s="2"/>
      <c r="AC26" s="139" t="s">
        <v>144</v>
      </c>
      <c r="AD26" s="36"/>
      <c r="AE26" s="36"/>
      <c r="AF26" s="36"/>
      <c r="AG26" s="133" t="s">
        <v>4</v>
      </c>
      <c r="AH26" s="144">
        <v>2</v>
      </c>
      <c r="AI26" s="21">
        <f ca="1">NICSACO.COM!G45</f>
        <v>0</v>
      </c>
      <c r="AJ26" s="2"/>
      <c r="AK26" s="85">
        <f t="shared" ref="AK26" ca="1" si="2">AI26</f>
        <v>0</v>
      </c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89"/>
    </row>
    <row r="27" spans="2:48" ht="24.95" customHeight="1" thickBot="1" x14ac:dyDescent="0.3">
      <c r="B27" s="16"/>
      <c r="C27" s="35"/>
      <c r="D27" s="36"/>
      <c r="E27" s="37" t="s">
        <v>36</v>
      </c>
      <c r="F27" s="46">
        <v>10</v>
      </c>
      <c r="G27" s="46">
        <v>1</v>
      </c>
      <c r="H27" s="46">
        <v>2</v>
      </c>
      <c r="I27" s="46">
        <f>NICSACO.COM!M20</f>
        <v>0</v>
      </c>
      <c r="J27" s="47"/>
      <c r="K27" s="2"/>
      <c r="L27" s="2"/>
      <c r="M27" s="35"/>
      <c r="N27" s="36"/>
      <c r="O27" s="37" t="s">
        <v>43</v>
      </c>
      <c r="P27" s="46">
        <v>0</v>
      </c>
      <c r="Q27" s="46"/>
      <c r="R27" s="46"/>
      <c r="S27" s="46"/>
      <c r="T27" s="47"/>
      <c r="U27" s="2"/>
      <c r="V27" s="2"/>
      <c r="W27" s="89"/>
      <c r="X27" s="16"/>
      <c r="Y27" s="2"/>
      <c r="Z27" s="2"/>
      <c r="AA27" s="2"/>
      <c r="AB27" s="2"/>
      <c r="AC27" s="149"/>
      <c r="AD27" s="1"/>
      <c r="AE27" s="1"/>
      <c r="AF27" s="1"/>
      <c r="AG27" s="134"/>
      <c r="AH27" s="145"/>
      <c r="AI27" s="21"/>
      <c r="AJ27" s="2"/>
      <c r="AK27" s="128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89"/>
    </row>
    <row r="28" spans="2:48" ht="24.95" customHeight="1" thickBot="1" x14ac:dyDescent="0.3">
      <c r="B28" s="16"/>
      <c r="C28" s="35"/>
      <c r="D28" s="36"/>
      <c r="E28" s="37" t="s">
        <v>37</v>
      </c>
      <c r="F28" s="46">
        <v>0</v>
      </c>
      <c r="G28" s="46">
        <f>NICSACO.COM!K21</f>
        <v>2</v>
      </c>
      <c r="H28" s="46">
        <f>NICSACO.COM!L21</f>
        <v>2</v>
      </c>
      <c r="I28" s="46">
        <f>NICSACO.COM!M21</f>
        <v>0</v>
      </c>
      <c r="J28" s="47"/>
      <c r="K28" s="2"/>
      <c r="L28" s="2"/>
      <c r="M28" s="35"/>
      <c r="N28" s="36"/>
      <c r="O28" s="37" t="s">
        <v>44</v>
      </c>
      <c r="P28" s="46">
        <v>0</v>
      </c>
      <c r="Q28" s="46"/>
      <c r="R28" s="46"/>
      <c r="S28" s="46"/>
      <c r="T28" s="47"/>
      <c r="U28" s="2"/>
      <c r="V28" s="2"/>
      <c r="W28" s="89"/>
      <c r="X28" s="16"/>
      <c r="Y28" s="2"/>
      <c r="Z28" s="2"/>
      <c r="AA28" s="2"/>
      <c r="AB28" s="2"/>
      <c r="AC28" s="71"/>
      <c r="AD28" s="25"/>
      <c r="AE28" s="25"/>
      <c r="AF28" s="25"/>
      <c r="AG28" s="138"/>
      <c r="AH28" s="94"/>
      <c r="AI28" s="72"/>
      <c r="AJ28" s="2"/>
      <c r="AK28" s="128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89"/>
    </row>
    <row r="29" spans="2:48" ht="24.95" customHeight="1" x14ac:dyDescent="0.25">
      <c r="B29" s="16"/>
      <c r="C29" s="35"/>
      <c r="D29" s="36"/>
      <c r="E29" s="37" t="s">
        <v>38</v>
      </c>
      <c r="F29" s="46">
        <v>15</v>
      </c>
      <c r="G29" s="46">
        <f>NICSACO.COM!K22</f>
        <v>10</v>
      </c>
      <c r="H29" s="46">
        <f>NICSACO.COM!L22</f>
        <v>2</v>
      </c>
      <c r="I29" s="46">
        <f>NICSACO.COM!M22</f>
        <v>0</v>
      </c>
      <c r="J29" s="47"/>
      <c r="K29" s="2"/>
      <c r="L29" s="2"/>
      <c r="M29" s="35"/>
      <c r="N29" s="36"/>
      <c r="O29" s="37" t="s">
        <v>45</v>
      </c>
      <c r="P29" s="46"/>
      <c r="Q29" s="46"/>
      <c r="R29" s="46"/>
      <c r="S29" s="46"/>
      <c r="T29" s="47"/>
      <c r="U29" s="2"/>
      <c r="V29" s="2"/>
      <c r="W29" s="89"/>
      <c r="X29" s="16"/>
      <c r="Y29" s="2"/>
      <c r="Z29" s="2"/>
      <c r="AA29" s="2"/>
      <c r="AB29" s="2"/>
      <c r="AC29" s="150" t="s">
        <v>145</v>
      </c>
      <c r="AD29" s="3"/>
      <c r="AE29" s="3"/>
      <c r="AF29" s="3"/>
      <c r="AG29" s="135" t="s">
        <v>5</v>
      </c>
      <c r="AH29" s="146">
        <v>8</v>
      </c>
      <c r="AI29" s="21">
        <f ca="1">NICSACO.COM!H44</f>
        <v>2</v>
      </c>
      <c r="AJ29" s="2"/>
      <c r="AK29" s="85">
        <f ca="1">AI29</f>
        <v>2</v>
      </c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89"/>
    </row>
    <row r="30" spans="2:48" ht="24.95" customHeight="1" thickBot="1" x14ac:dyDescent="0.3">
      <c r="B30" s="16"/>
      <c r="C30" s="38"/>
      <c r="D30" s="39"/>
      <c r="E30" s="40" t="s">
        <v>39</v>
      </c>
      <c r="F30" s="48"/>
      <c r="G30" s="48"/>
      <c r="H30" s="48"/>
      <c r="I30" s="48"/>
      <c r="J30" s="49"/>
      <c r="K30" s="2"/>
      <c r="L30" s="2"/>
      <c r="M30" s="38"/>
      <c r="N30" s="39"/>
      <c r="O30" s="40" t="s">
        <v>46</v>
      </c>
      <c r="P30" s="48"/>
      <c r="Q30" s="48"/>
      <c r="R30" s="48"/>
      <c r="S30" s="48"/>
      <c r="T30" s="49"/>
      <c r="U30" s="2"/>
      <c r="V30" s="2"/>
      <c r="W30" s="89"/>
      <c r="X30" s="16"/>
      <c r="Y30" s="2"/>
      <c r="Z30" s="2"/>
      <c r="AA30" s="2"/>
      <c r="AB30" s="2"/>
      <c r="AC30" s="139" t="s">
        <v>146</v>
      </c>
      <c r="AD30" s="36"/>
      <c r="AE30" s="36"/>
      <c r="AF30" s="36"/>
      <c r="AG30" s="133" t="s">
        <v>5</v>
      </c>
      <c r="AH30" s="144">
        <v>4</v>
      </c>
      <c r="AI30" s="21">
        <f ca="1">NICSACO.COM!H45</f>
        <v>0</v>
      </c>
      <c r="AJ30" s="2"/>
      <c r="AK30" s="85">
        <f ca="1">AI30</f>
        <v>0</v>
      </c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89"/>
    </row>
    <row r="31" spans="2:48" ht="24.95" customHeight="1" thickBot="1" x14ac:dyDescent="0.3">
      <c r="B31" s="16"/>
      <c r="C31" s="24"/>
      <c r="D31" s="25"/>
      <c r="E31" s="29" t="s">
        <v>40</v>
      </c>
      <c r="F31" s="28"/>
      <c r="G31" s="41">
        <f ca="1">NICSACO.COM!E24</f>
        <v>160</v>
      </c>
      <c r="H31" s="41">
        <f ca="1">NICSACO.COM!F24</f>
        <v>105</v>
      </c>
      <c r="I31" s="41">
        <f ca="1">NICSACO.COM!G24</f>
        <v>0</v>
      </c>
      <c r="J31" s="42">
        <f ca="1">NICSACO.COM!H24</f>
        <v>0</v>
      </c>
      <c r="K31" s="2"/>
      <c r="L31" s="2"/>
      <c r="M31" s="24"/>
      <c r="N31" s="25"/>
      <c r="O31" s="29" t="s">
        <v>41</v>
      </c>
      <c r="P31" s="28"/>
      <c r="Q31" s="41">
        <f ca="1">NICSACO.COM!E30</f>
        <v>6</v>
      </c>
      <c r="R31" s="41">
        <f ca="1">NICSACO.COM!F30</f>
        <v>0</v>
      </c>
      <c r="S31" s="41">
        <f ca="1">NICSACO.COM!G30</f>
        <v>6</v>
      </c>
      <c r="T31" s="42">
        <f ca="1">NICSACO.COM!H30</f>
        <v>15</v>
      </c>
      <c r="U31" s="2"/>
      <c r="V31" s="2"/>
      <c r="W31" s="89"/>
      <c r="X31" s="16"/>
      <c r="Y31" s="2"/>
      <c r="Z31" s="2"/>
      <c r="AA31" s="2"/>
      <c r="AB31" s="2"/>
      <c r="AC31" s="151" t="s">
        <v>147</v>
      </c>
      <c r="AD31" s="39"/>
      <c r="AE31" s="39"/>
      <c r="AF31" s="39"/>
      <c r="AG31" s="136" t="s">
        <v>5</v>
      </c>
      <c r="AH31" s="147">
        <v>2</v>
      </c>
      <c r="AI31" s="23">
        <f ca="1">NICSACO.COM!H46</f>
        <v>1</v>
      </c>
      <c r="AJ31" s="2"/>
      <c r="AK31" s="85">
        <f ca="1">AI31</f>
        <v>1</v>
      </c>
      <c r="AL31" s="2"/>
      <c r="AM31" s="2"/>
      <c r="AN31" s="2"/>
      <c r="AO31" s="70" t="s">
        <v>71</v>
      </c>
      <c r="AP31" s="2"/>
      <c r="AQ31" s="2"/>
      <c r="AR31" s="2"/>
      <c r="AS31" s="2"/>
      <c r="AT31" s="2"/>
      <c r="AU31" s="2"/>
      <c r="AV31" s="89"/>
    </row>
    <row r="32" spans="2:48" ht="24.95" customHeight="1" thickBot="1" x14ac:dyDescent="0.3">
      <c r="B32" s="16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89"/>
      <c r="X32" s="16"/>
      <c r="Y32" s="2"/>
      <c r="Z32" s="2"/>
      <c r="AA32" s="2"/>
      <c r="AB32" s="2"/>
      <c r="AC32" s="2"/>
      <c r="AK32" s="84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89"/>
    </row>
    <row r="33" spans="2:48" ht="24.95" customHeight="1" thickBot="1" x14ac:dyDescent="0.3">
      <c r="B33" s="16"/>
      <c r="C33" s="24"/>
      <c r="D33" s="25"/>
      <c r="E33" s="44" t="s">
        <v>49</v>
      </c>
      <c r="F33" s="50">
        <f>NICSACO.COM!E33</f>
        <v>20</v>
      </c>
      <c r="G33" s="45" t="s">
        <v>50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89"/>
      <c r="X33" s="16"/>
      <c r="Y33" s="2"/>
      <c r="Z33" s="2"/>
      <c r="AA33" s="2"/>
      <c r="AB33" s="2"/>
      <c r="AC33" s="2"/>
      <c r="AD33" s="2"/>
      <c r="AE33" s="2"/>
      <c r="AF33" s="2"/>
      <c r="AG33" s="2"/>
      <c r="AH33" s="79" t="s">
        <v>2</v>
      </c>
      <c r="AI33" s="80" t="s">
        <v>3</v>
      </c>
      <c r="AJ33" s="80" t="s">
        <v>4</v>
      </c>
      <c r="AK33" s="55" t="s">
        <v>5</v>
      </c>
      <c r="AL33" s="2"/>
      <c r="AM33" s="2"/>
      <c r="AN33" s="32"/>
      <c r="AO33" s="105"/>
      <c r="AP33" s="106"/>
      <c r="AQ33" s="33"/>
      <c r="AR33" s="100" t="s">
        <v>72</v>
      </c>
      <c r="AS33" s="192" t="s">
        <v>79</v>
      </c>
      <c r="AT33" s="193"/>
      <c r="AU33" s="2"/>
      <c r="AV33" s="89"/>
    </row>
    <row r="34" spans="2:48" ht="24.95" customHeight="1" thickBot="1" x14ac:dyDescent="0.3">
      <c r="B34" s="16"/>
      <c r="C34" s="2"/>
      <c r="D34" s="2"/>
      <c r="E34" s="2"/>
      <c r="F34" s="2"/>
      <c r="G34" s="2"/>
      <c r="H34" s="2"/>
      <c r="I34" s="2"/>
      <c r="J34" s="7"/>
      <c r="K34" s="7"/>
      <c r="L34" s="7"/>
      <c r="M34" s="7"/>
      <c r="N34" s="7"/>
      <c r="O34" s="54"/>
      <c r="P34" s="7"/>
      <c r="Q34" s="2"/>
      <c r="R34" s="2"/>
      <c r="S34" s="2"/>
      <c r="T34" s="2"/>
      <c r="U34" s="2"/>
      <c r="V34" s="2"/>
      <c r="W34" s="89"/>
      <c r="X34" s="16"/>
      <c r="Y34" s="2"/>
      <c r="Z34" s="2"/>
      <c r="AA34" s="2"/>
      <c r="AB34" s="2"/>
      <c r="AC34" s="24"/>
      <c r="AD34" s="25"/>
      <c r="AE34" s="28"/>
      <c r="AF34" s="28"/>
      <c r="AG34" s="44" t="s">
        <v>67</v>
      </c>
      <c r="AH34" s="82">
        <f ca="1">NICSACO.COM!O13</f>
        <v>368</v>
      </c>
      <c r="AI34" s="82">
        <f ca="1">NICSACO.COM!O17</f>
        <v>176</v>
      </c>
      <c r="AJ34" s="82">
        <f ca="1">NICSACO.COM!O20</f>
        <v>80</v>
      </c>
      <c r="AK34" s="83">
        <f ca="1">NICSACO.COM!O24</f>
        <v>18</v>
      </c>
      <c r="AL34" s="2"/>
      <c r="AM34" s="2"/>
      <c r="AN34" s="107"/>
      <c r="AO34" s="36"/>
      <c r="AP34" s="36"/>
      <c r="AQ34" s="36"/>
      <c r="AR34" s="108" t="s">
        <v>90</v>
      </c>
      <c r="AS34" s="194">
        <v>1</v>
      </c>
      <c r="AT34" s="195"/>
      <c r="AU34" s="2"/>
      <c r="AV34" s="89"/>
    </row>
    <row r="35" spans="2:48" ht="24.95" customHeight="1" thickBot="1" x14ac:dyDescent="0.35">
      <c r="B35" s="16"/>
      <c r="C35" s="2"/>
      <c r="D35" s="2"/>
      <c r="E35" s="2"/>
      <c r="F35" s="2"/>
      <c r="G35" s="2"/>
      <c r="H35" s="2"/>
      <c r="I35" s="2"/>
      <c r="J35" s="7"/>
      <c r="K35" s="2"/>
      <c r="L35" s="43"/>
      <c r="M35" s="2"/>
      <c r="N35" s="32"/>
      <c r="O35" s="33"/>
      <c r="P35" s="57"/>
      <c r="Q35" s="58" t="s">
        <v>51</v>
      </c>
      <c r="R35" s="33"/>
      <c r="S35" s="33"/>
      <c r="T35" s="51"/>
      <c r="U35" s="2"/>
      <c r="V35" s="2"/>
      <c r="W35" s="89"/>
      <c r="X35" s="16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38"/>
      <c r="AO35" s="39"/>
      <c r="AP35" s="39"/>
      <c r="AQ35" s="39"/>
      <c r="AR35" s="104" t="s">
        <v>88</v>
      </c>
      <c r="AS35" s="190" t="s">
        <v>156</v>
      </c>
      <c r="AT35" s="191"/>
      <c r="AU35" s="2"/>
      <c r="AV35" s="89"/>
    </row>
    <row r="36" spans="2:48" ht="24.95" customHeight="1" thickBot="1" x14ac:dyDescent="0.3">
      <c r="B36" s="16"/>
      <c r="C36" s="2"/>
      <c r="D36" s="2"/>
      <c r="E36" s="2"/>
      <c r="F36" s="2"/>
      <c r="G36" s="2"/>
      <c r="H36" s="2"/>
      <c r="I36" s="7"/>
      <c r="J36" s="8"/>
      <c r="K36" s="2"/>
      <c r="L36" s="2"/>
      <c r="M36" s="2"/>
      <c r="N36" s="206" t="s">
        <v>2</v>
      </c>
      <c r="O36" s="207"/>
      <c r="P36" s="64" t="s">
        <v>3</v>
      </c>
      <c r="Q36" s="200" t="s">
        <v>4</v>
      </c>
      <c r="R36" s="208"/>
      <c r="S36" s="200" t="s">
        <v>5</v>
      </c>
      <c r="T36" s="201"/>
      <c r="U36" s="2"/>
      <c r="V36" s="2"/>
      <c r="W36" s="89"/>
      <c r="X36" s="16"/>
      <c r="Y36" s="2"/>
      <c r="Z36" s="2"/>
      <c r="AA36" s="2"/>
      <c r="AB36" s="2"/>
      <c r="AC36" s="32"/>
      <c r="AD36" s="33"/>
      <c r="AE36" s="33"/>
      <c r="AF36" s="33"/>
      <c r="AG36" s="100" t="s">
        <v>68</v>
      </c>
      <c r="AH36" s="80" t="s">
        <v>2</v>
      </c>
      <c r="AI36" s="80" t="s">
        <v>3</v>
      </c>
      <c r="AJ36" s="75" t="s">
        <v>4</v>
      </c>
      <c r="AK36" s="78" t="s">
        <v>5</v>
      </c>
      <c r="AL36" s="2"/>
      <c r="AM36" s="2"/>
      <c r="AU36" s="2"/>
      <c r="AV36" s="89"/>
    </row>
    <row r="37" spans="2:48" ht="24.95" customHeight="1" thickBot="1" x14ac:dyDescent="0.3">
      <c r="B37" s="16"/>
      <c r="C37" s="2"/>
      <c r="D37" s="2"/>
      <c r="E37" s="2"/>
      <c r="F37" s="2"/>
      <c r="G37" s="2"/>
      <c r="H37" s="2"/>
      <c r="I37" s="7"/>
      <c r="J37" s="7"/>
      <c r="K37" s="32"/>
      <c r="L37" s="33"/>
      <c r="M37" s="34" t="s">
        <v>52</v>
      </c>
      <c r="N37" s="200">
        <f ca="1">NICSACO.COM!E37</f>
        <v>303</v>
      </c>
      <c r="O37" s="208"/>
      <c r="P37" s="10">
        <f ca="1">NICSACO.COM!F37</f>
        <v>145</v>
      </c>
      <c r="Q37" s="200">
        <f ca="1">NICSACO.COM!G37</f>
        <v>66</v>
      </c>
      <c r="R37" s="208"/>
      <c r="S37" s="200">
        <f ca="1">NICSACO.COM!H37</f>
        <v>15</v>
      </c>
      <c r="T37" s="201"/>
      <c r="U37" s="2"/>
      <c r="V37" s="2"/>
      <c r="W37" s="89"/>
      <c r="X37" s="16"/>
      <c r="Y37" s="2"/>
      <c r="Z37" s="2"/>
      <c r="AA37" s="2"/>
      <c r="AB37" s="2"/>
      <c r="AC37" s="35"/>
      <c r="AD37" s="36"/>
      <c r="AE37" s="36"/>
      <c r="AF37" s="101"/>
      <c r="AG37" s="102" t="s">
        <v>75</v>
      </c>
      <c r="AH37" s="92">
        <f>NICSACO.COM!L33</f>
        <v>0</v>
      </c>
      <c r="AI37" s="96">
        <f>NICSACO.COM!M33</f>
        <v>100</v>
      </c>
      <c r="AJ37" s="99"/>
      <c r="AK37" s="95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89"/>
    </row>
    <row r="38" spans="2:48" ht="24.95" customHeight="1" thickBot="1" x14ac:dyDescent="0.3">
      <c r="B38" s="16"/>
      <c r="C38" s="2"/>
      <c r="D38" s="2"/>
      <c r="E38" s="2"/>
      <c r="F38" s="2"/>
      <c r="G38" s="2"/>
      <c r="H38" s="2"/>
      <c r="I38" s="7"/>
      <c r="J38" s="2"/>
      <c r="K38" s="38"/>
      <c r="L38" s="39"/>
      <c r="M38" s="40" t="s">
        <v>49</v>
      </c>
      <c r="N38" s="196" t="str">
        <f ca="1">NICSACO.COM!E38</f>
        <v>61</v>
      </c>
      <c r="O38" s="197"/>
      <c r="P38" s="67" t="str">
        <f ca="1">NICSACO.COM!F38</f>
        <v>29</v>
      </c>
      <c r="Q38" s="196" t="str">
        <f ca="1">NICSACO.COM!G38</f>
        <v>13</v>
      </c>
      <c r="R38" s="197"/>
      <c r="S38" s="196" t="str">
        <f ca="1">NICSACO.COM!H38</f>
        <v>3</v>
      </c>
      <c r="T38" s="202"/>
      <c r="U38" s="2"/>
      <c r="V38" s="2"/>
      <c r="W38" s="89"/>
      <c r="X38" s="16"/>
      <c r="Y38" s="2"/>
      <c r="Z38" s="2"/>
      <c r="AA38" s="2"/>
      <c r="AB38" s="2"/>
      <c r="AC38" s="35"/>
      <c r="AD38" s="36"/>
      <c r="AE38" s="36"/>
      <c r="AF38" s="101"/>
      <c r="AG38" s="101" t="s">
        <v>76</v>
      </c>
      <c r="AH38" s="95"/>
      <c r="AI38" s="94"/>
      <c r="AJ38" s="97">
        <f>NICSACO.COM!N33</f>
        <v>0</v>
      </c>
      <c r="AK38" s="98">
        <f>NICSACO.COM!O33</f>
        <v>0</v>
      </c>
      <c r="AL38" s="2"/>
      <c r="AM38" s="2"/>
      <c r="AN38" s="2"/>
      <c r="AO38" s="2"/>
      <c r="AP38" s="2"/>
      <c r="AQ38" s="2"/>
      <c r="AR38" s="90" t="s">
        <v>83</v>
      </c>
      <c r="AS38" s="198" t="s">
        <v>84</v>
      </c>
      <c r="AT38" s="199"/>
      <c r="AU38" s="2"/>
      <c r="AV38" s="89"/>
    </row>
    <row r="39" spans="2:48" ht="24.95" customHeight="1" thickBot="1" x14ac:dyDescent="0.3">
      <c r="B39" s="16"/>
      <c r="C39" s="2"/>
      <c r="D39" s="2"/>
      <c r="E39" s="2"/>
      <c r="F39" s="2"/>
      <c r="G39" s="2"/>
      <c r="H39" s="2"/>
      <c r="I39" s="7"/>
      <c r="J39" s="7"/>
      <c r="K39" s="7"/>
      <c r="L39" s="2"/>
      <c r="M39" s="61"/>
      <c r="N39" s="2"/>
      <c r="O39" s="2"/>
      <c r="P39" s="2"/>
      <c r="Q39" s="2"/>
      <c r="R39" s="2"/>
      <c r="S39" s="2"/>
      <c r="T39" s="2"/>
      <c r="U39" s="2"/>
      <c r="V39" s="2"/>
      <c r="W39" s="89"/>
      <c r="X39" s="16"/>
      <c r="Y39" s="2"/>
      <c r="Z39" s="2"/>
      <c r="AA39" s="2"/>
      <c r="AB39" s="2"/>
      <c r="AC39" s="38"/>
      <c r="AD39" s="39"/>
      <c r="AE39" s="39"/>
      <c r="AF39" s="103"/>
      <c r="AG39" s="104" t="s">
        <v>77</v>
      </c>
      <c r="AH39" s="93" t="str">
        <f ca="1">NICSACO.COM!L34</f>
        <v>0</v>
      </c>
      <c r="AI39" s="93" t="str">
        <f ca="1">NICSACO.COM!M34</f>
        <v>176</v>
      </c>
      <c r="AJ39" s="22" t="str">
        <f ca="1">NICSACO.COM!N34</f>
        <v>0</v>
      </c>
      <c r="AK39" s="23" t="str">
        <f ca="1">NICSACO.COM!O34</f>
        <v>0</v>
      </c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89"/>
    </row>
    <row r="40" spans="2:48" ht="24.95" customHeight="1" thickBot="1" x14ac:dyDescent="0.3">
      <c r="B40" s="16"/>
      <c r="C40" s="2"/>
      <c r="D40" s="2"/>
      <c r="E40" s="2"/>
      <c r="F40" s="2"/>
      <c r="G40" s="2"/>
      <c r="H40" s="2"/>
      <c r="I40" s="62"/>
      <c r="J40" s="27"/>
      <c r="K40" s="41"/>
      <c r="L40" s="41"/>
      <c r="M40" s="63" t="s">
        <v>53</v>
      </c>
      <c r="N40" s="203">
        <f ca="1">NICSACO.COM!E39</f>
        <v>364</v>
      </c>
      <c r="O40" s="205"/>
      <c r="P40" s="66">
        <f ca="1">NICSACO.COM!F39</f>
        <v>174</v>
      </c>
      <c r="Q40" s="203">
        <f ca="1">NICSACO.COM!G39</f>
        <v>79</v>
      </c>
      <c r="R40" s="205"/>
      <c r="S40" s="203">
        <f ca="1">NICSACO.COM!H39</f>
        <v>18</v>
      </c>
      <c r="T40" s="204"/>
      <c r="U40" s="2"/>
      <c r="V40" s="2"/>
      <c r="W40" s="89"/>
      <c r="X40" s="16"/>
      <c r="Y40" s="2"/>
      <c r="Z40" s="2"/>
      <c r="AA40" s="2"/>
      <c r="AB40" s="2"/>
      <c r="AC40" s="2"/>
      <c r="AD40" s="2"/>
      <c r="AE40" s="2"/>
      <c r="AF40" s="2"/>
      <c r="AG40" s="90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89"/>
    </row>
    <row r="41" spans="2:48" ht="24.95" customHeight="1" thickBot="1" x14ac:dyDescent="0.3">
      <c r="B41" s="17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59"/>
      <c r="X41" s="17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59"/>
    </row>
    <row r="42" spans="2:48" ht="24.95" customHeight="1" x14ac:dyDescent="0.25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</row>
  </sheetData>
  <sheetProtection algorithmName="SHA-512" hashValue="qNe0ZaedGJmwFZL+nPlNCBq15mF4uVMae4bJfprw9ZYHw9IyNotgzWlaT6SFT4yyD6T/ZBqOOYh48g2ks2wprg==" saltValue="yWYZmWxdJi2yJ0qYGt1hZQ==" spinCount="100000" sheet="1" objects="1" scenarios="1"/>
  <protectedRanges>
    <protectedRange sqref="F15:J19 P15:T19 F26:J30 P26:T30 F33 AH13:AK13 AK17:AK19 AK21:AK23 AK25:AK26 AK29:AK31 AH37:AI37 AJ38:AK38 AS38 AS33:AT35" name="Range3"/>
    <protectedRange sqref="R3:W3" name="Range1_4"/>
    <protectedRange sqref="P15:T19 F26:J30 P26:T30 AH13:AK13 AH37:AI37 AJ38:AK38 AS33:AT35 AS38 AK17:AK30 AG3:AH3 AA7:AJ7 C3:M4 B2:B7 C6:M7 N4:Z7 P3:Q3 AM2:AV7 C2:AL2 AK4:AL7" name="control"/>
  </protectedRanges>
  <mergeCells count="16">
    <mergeCell ref="S40:T40"/>
    <mergeCell ref="N40:O40"/>
    <mergeCell ref="Q40:R40"/>
    <mergeCell ref="N36:O36"/>
    <mergeCell ref="Q36:R36"/>
    <mergeCell ref="N37:O37"/>
    <mergeCell ref="Q37:R37"/>
    <mergeCell ref="AS35:AT35"/>
    <mergeCell ref="AS33:AT33"/>
    <mergeCell ref="AS34:AT34"/>
    <mergeCell ref="N38:O38"/>
    <mergeCell ref="Q38:R38"/>
    <mergeCell ref="AS38:AT38"/>
    <mergeCell ref="S36:T36"/>
    <mergeCell ref="S37:T37"/>
    <mergeCell ref="S38:T38"/>
  </mergeCells>
  <printOptions horizontalCentered="1" verticalCentered="1"/>
  <pageMargins left="0.45" right="0.45" top="0.3" bottom="0.4" header="0.3" footer="0.3"/>
  <pageSetup paperSize="9" scale="55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NICSACO.COM!$R$38:$R$39</xm:f>
          </x14:formula1>
          <xm:sqref>AS38</xm:sqref>
        </x14:dataValidation>
        <x14:dataValidation type="list" allowBlank="1" showInputMessage="1" showErrorMessage="1">
          <x14:formula1>
            <xm:f>NICSACO.COM!$S$38:$S$39</xm:f>
          </x14:formula1>
          <xm:sqref>AS34:AT34</xm:sqref>
        </x14:dataValidation>
        <x14:dataValidation type="list" allowBlank="1" showInputMessage="1" showErrorMessage="1">
          <x14:formula1>
            <xm:f>NICSACO.COM!$M$37:$M$40</xm:f>
          </x14:formula1>
          <xm:sqref>AS33:AT33</xm:sqref>
        </x14:dataValidation>
        <x14:dataValidation type="list" allowBlank="1" showInputMessage="1" showErrorMessage="1">
          <x14:formula1>
            <xm:f>NICSACO.COM!$T$35:$T$41</xm:f>
          </x14:formula1>
          <xm:sqref>AS35:AT35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47"/>
  <sheetViews>
    <sheetView zoomScale="115" zoomScaleNormal="115" workbookViewId="0">
      <selection activeCell="S8" sqref="S8"/>
    </sheetView>
  </sheetViews>
  <sheetFormatPr defaultRowHeight="20.100000000000001" customHeight="1" x14ac:dyDescent="0.25"/>
  <cols>
    <col min="1" max="1" width="3" style="167" bestFit="1" customWidth="1"/>
    <col min="2" max="2" width="3.7109375" style="165" bestFit="1" customWidth="1"/>
    <col min="3" max="3" width="8.85546875" style="166" customWidth="1"/>
    <col min="4" max="8" width="9.7109375" style="167" customWidth="1"/>
    <col min="9" max="9" width="9.140625" style="167"/>
    <col min="10" max="10" width="7.28515625" style="167" bestFit="1" customWidth="1"/>
    <col min="11" max="11" width="6" style="167" customWidth="1"/>
    <col min="12" max="12" width="3.85546875" style="167" customWidth="1"/>
    <col min="13" max="13" width="4.140625" style="167" bestFit="1" customWidth="1"/>
    <col min="14" max="14" width="4" style="167" bestFit="1" customWidth="1"/>
    <col min="15" max="15" width="4" style="167" customWidth="1"/>
    <col min="16" max="17" width="9.140625" style="167"/>
    <col min="18" max="18" width="13.7109375" style="167" bestFit="1" customWidth="1"/>
    <col min="19" max="19" width="9.140625" style="167"/>
    <col min="20" max="20" width="12.7109375" style="167" bestFit="1" customWidth="1"/>
    <col min="21" max="21" width="16.42578125" style="167" bestFit="1" customWidth="1"/>
    <col min="22" max="22" width="11.140625" style="167" bestFit="1" customWidth="1"/>
    <col min="23" max="25" width="9.140625" style="167"/>
    <col min="26" max="26" width="16.5703125" style="168" bestFit="1" customWidth="1"/>
    <col min="27" max="28" width="9.140625" style="167"/>
    <col min="29" max="29" width="24.85546875" style="167" bestFit="1" customWidth="1"/>
    <col min="30" max="253" width="9.140625" style="167"/>
    <col min="254" max="254" width="20.28515625" style="167" bestFit="1" customWidth="1"/>
    <col min="255" max="255" width="10.85546875" style="167" bestFit="1" customWidth="1"/>
    <col min="256" max="256" width="11.5703125" style="167" bestFit="1" customWidth="1"/>
    <col min="257" max="509" width="9.140625" style="167"/>
    <col min="510" max="510" width="20.28515625" style="167" bestFit="1" customWidth="1"/>
    <col min="511" max="511" width="10.85546875" style="167" bestFit="1" customWidth="1"/>
    <col min="512" max="512" width="11.5703125" style="167" bestFit="1" customWidth="1"/>
    <col min="513" max="765" width="9.140625" style="167"/>
    <col min="766" max="766" width="20.28515625" style="167" bestFit="1" customWidth="1"/>
    <col min="767" max="767" width="10.85546875" style="167" bestFit="1" customWidth="1"/>
    <col min="768" max="768" width="11.5703125" style="167" bestFit="1" customWidth="1"/>
    <col min="769" max="1021" width="9.140625" style="167"/>
    <col min="1022" max="1022" width="20.28515625" style="167" bestFit="1" customWidth="1"/>
    <col min="1023" max="1023" width="10.85546875" style="167" bestFit="1" customWidth="1"/>
    <col min="1024" max="1024" width="11.5703125" style="167" bestFit="1" customWidth="1"/>
    <col min="1025" max="1277" width="9.140625" style="167"/>
    <col min="1278" max="1278" width="20.28515625" style="167" bestFit="1" customWidth="1"/>
    <col min="1279" max="1279" width="10.85546875" style="167" bestFit="1" customWidth="1"/>
    <col min="1280" max="1280" width="11.5703125" style="167" bestFit="1" customWidth="1"/>
    <col min="1281" max="1533" width="9.140625" style="167"/>
    <col min="1534" max="1534" width="20.28515625" style="167" bestFit="1" customWidth="1"/>
    <col min="1535" max="1535" width="10.85546875" style="167" bestFit="1" customWidth="1"/>
    <col min="1536" max="1536" width="11.5703125" style="167" bestFit="1" customWidth="1"/>
    <col min="1537" max="1789" width="9.140625" style="167"/>
    <col min="1790" max="1790" width="20.28515625" style="167" bestFit="1" customWidth="1"/>
    <col min="1791" max="1791" width="10.85546875" style="167" bestFit="1" customWidth="1"/>
    <col min="1792" max="1792" width="11.5703125" style="167" bestFit="1" customWidth="1"/>
    <col min="1793" max="2045" width="9.140625" style="167"/>
    <col min="2046" max="2046" width="20.28515625" style="167" bestFit="1" customWidth="1"/>
    <col min="2047" max="2047" width="10.85546875" style="167" bestFit="1" customWidth="1"/>
    <col min="2048" max="2048" width="11.5703125" style="167" bestFit="1" customWidth="1"/>
    <col min="2049" max="2301" width="9.140625" style="167"/>
    <col min="2302" max="2302" width="20.28515625" style="167" bestFit="1" customWidth="1"/>
    <col min="2303" max="2303" width="10.85546875" style="167" bestFit="1" customWidth="1"/>
    <col min="2304" max="2304" width="11.5703125" style="167" bestFit="1" customWidth="1"/>
    <col min="2305" max="2557" width="9.140625" style="167"/>
    <col min="2558" max="2558" width="20.28515625" style="167" bestFit="1" customWidth="1"/>
    <col min="2559" max="2559" width="10.85546875" style="167" bestFit="1" customWidth="1"/>
    <col min="2560" max="2560" width="11.5703125" style="167" bestFit="1" customWidth="1"/>
    <col min="2561" max="2813" width="9.140625" style="167"/>
    <col min="2814" max="2814" width="20.28515625" style="167" bestFit="1" customWidth="1"/>
    <col min="2815" max="2815" width="10.85546875" style="167" bestFit="1" customWidth="1"/>
    <col min="2816" max="2816" width="11.5703125" style="167" bestFit="1" customWidth="1"/>
    <col min="2817" max="3069" width="9.140625" style="167"/>
    <col min="3070" max="3070" width="20.28515625" style="167" bestFit="1" customWidth="1"/>
    <col min="3071" max="3071" width="10.85546875" style="167" bestFit="1" customWidth="1"/>
    <col min="3072" max="3072" width="11.5703125" style="167" bestFit="1" customWidth="1"/>
    <col min="3073" max="3325" width="9.140625" style="167"/>
    <col min="3326" max="3326" width="20.28515625" style="167" bestFit="1" customWidth="1"/>
    <col min="3327" max="3327" width="10.85546875" style="167" bestFit="1" customWidth="1"/>
    <col min="3328" max="3328" width="11.5703125" style="167" bestFit="1" customWidth="1"/>
    <col min="3329" max="3581" width="9.140625" style="167"/>
    <col min="3582" max="3582" width="20.28515625" style="167" bestFit="1" customWidth="1"/>
    <col min="3583" max="3583" width="10.85546875" style="167" bestFit="1" customWidth="1"/>
    <col min="3584" max="3584" width="11.5703125" style="167" bestFit="1" customWidth="1"/>
    <col min="3585" max="3837" width="9.140625" style="167"/>
    <col min="3838" max="3838" width="20.28515625" style="167" bestFit="1" customWidth="1"/>
    <col min="3839" max="3839" width="10.85546875" style="167" bestFit="1" customWidth="1"/>
    <col min="3840" max="3840" width="11.5703125" style="167" bestFit="1" customWidth="1"/>
    <col min="3841" max="4093" width="9.140625" style="167"/>
    <col min="4094" max="4094" width="20.28515625" style="167" bestFit="1" customWidth="1"/>
    <col min="4095" max="4095" width="10.85546875" style="167" bestFit="1" customWidth="1"/>
    <col min="4096" max="4096" width="11.5703125" style="167" bestFit="1" customWidth="1"/>
    <col min="4097" max="4349" width="9.140625" style="167"/>
    <col min="4350" max="4350" width="20.28515625" style="167" bestFit="1" customWidth="1"/>
    <col min="4351" max="4351" width="10.85546875" style="167" bestFit="1" customWidth="1"/>
    <col min="4352" max="4352" width="11.5703125" style="167" bestFit="1" customWidth="1"/>
    <col min="4353" max="4605" width="9.140625" style="167"/>
    <col min="4606" max="4606" width="20.28515625" style="167" bestFit="1" customWidth="1"/>
    <col min="4607" max="4607" width="10.85546875" style="167" bestFit="1" customWidth="1"/>
    <col min="4608" max="4608" width="11.5703125" style="167" bestFit="1" customWidth="1"/>
    <col min="4609" max="4861" width="9.140625" style="167"/>
    <col min="4862" max="4862" width="20.28515625" style="167" bestFit="1" customWidth="1"/>
    <col min="4863" max="4863" width="10.85546875" style="167" bestFit="1" customWidth="1"/>
    <col min="4864" max="4864" width="11.5703125" style="167" bestFit="1" customWidth="1"/>
    <col min="4865" max="5117" width="9.140625" style="167"/>
    <col min="5118" max="5118" width="20.28515625" style="167" bestFit="1" customWidth="1"/>
    <col min="5119" max="5119" width="10.85546875" style="167" bestFit="1" customWidth="1"/>
    <col min="5120" max="5120" width="11.5703125" style="167" bestFit="1" customWidth="1"/>
    <col min="5121" max="5373" width="9.140625" style="167"/>
    <col min="5374" max="5374" width="20.28515625" style="167" bestFit="1" customWidth="1"/>
    <col min="5375" max="5375" width="10.85546875" style="167" bestFit="1" customWidth="1"/>
    <col min="5376" max="5376" width="11.5703125" style="167" bestFit="1" customWidth="1"/>
    <col min="5377" max="5629" width="9.140625" style="167"/>
    <col min="5630" max="5630" width="20.28515625" style="167" bestFit="1" customWidth="1"/>
    <col min="5631" max="5631" width="10.85546875" style="167" bestFit="1" customWidth="1"/>
    <col min="5632" max="5632" width="11.5703125" style="167" bestFit="1" customWidth="1"/>
    <col min="5633" max="5885" width="9.140625" style="167"/>
    <col min="5886" max="5886" width="20.28515625" style="167" bestFit="1" customWidth="1"/>
    <col min="5887" max="5887" width="10.85546875" style="167" bestFit="1" customWidth="1"/>
    <col min="5888" max="5888" width="11.5703125" style="167" bestFit="1" customWidth="1"/>
    <col min="5889" max="6141" width="9.140625" style="167"/>
    <col min="6142" max="6142" width="20.28515625" style="167" bestFit="1" customWidth="1"/>
    <col min="6143" max="6143" width="10.85546875" style="167" bestFit="1" customWidth="1"/>
    <col min="6144" max="6144" width="11.5703125" style="167" bestFit="1" customWidth="1"/>
    <col min="6145" max="6397" width="9.140625" style="167"/>
    <col min="6398" max="6398" width="20.28515625" style="167" bestFit="1" customWidth="1"/>
    <col min="6399" max="6399" width="10.85546875" style="167" bestFit="1" customWidth="1"/>
    <col min="6400" max="6400" width="11.5703125" style="167" bestFit="1" customWidth="1"/>
    <col min="6401" max="6653" width="9.140625" style="167"/>
    <col min="6654" max="6654" width="20.28515625" style="167" bestFit="1" customWidth="1"/>
    <col min="6655" max="6655" width="10.85546875" style="167" bestFit="1" customWidth="1"/>
    <col min="6656" max="6656" width="11.5703125" style="167" bestFit="1" customWidth="1"/>
    <col min="6657" max="6909" width="9.140625" style="167"/>
    <col min="6910" max="6910" width="20.28515625" style="167" bestFit="1" customWidth="1"/>
    <col min="6911" max="6911" width="10.85546875" style="167" bestFit="1" customWidth="1"/>
    <col min="6912" max="6912" width="11.5703125" style="167" bestFit="1" customWidth="1"/>
    <col min="6913" max="7165" width="9.140625" style="167"/>
    <col min="7166" max="7166" width="20.28515625" style="167" bestFit="1" customWidth="1"/>
    <col min="7167" max="7167" width="10.85546875" style="167" bestFit="1" customWidth="1"/>
    <col min="7168" max="7168" width="11.5703125" style="167" bestFit="1" customWidth="1"/>
    <col min="7169" max="7421" width="9.140625" style="167"/>
    <col min="7422" max="7422" width="20.28515625" style="167" bestFit="1" customWidth="1"/>
    <col min="7423" max="7423" width="10.85546875" style="167" bestFit="1" customWidth="1"/>
    <col min="7424" max="7424" width="11.5703125" style="167" bestFit="1" customWidth="1"/>
    <col min="7425" max="7677" width="9.140625" style="167"/>
    <col min="7678" max="7678" width="20.28515625" style="167" bestFit="1" customWidth="1"/>
    <col min="7679" max="7679" width="10.85546875" style="167" bestFit="1" customWidth="1"/>
    <col min="7680" max="7680" width="11.5703125" style="167" bestFit="1" customWidth="1"/>
    <col min="7681" max="7933" width="9.140625" style="167"/>
    <col min="7934" max="7934" width="20.28515625" style="167" bestFit="1" customWidth="1"/>
    <col min="7935" max="7935" width="10.85546875" style="167" bestFit="1" customWidth="1"/>
    <col min="7936" max="7936" width="11.5703125" style="167" bestFit="1" customWidth="1"/>
    <col min="7937" max="8189" width="9.140625" style="167"/>
    <col min="8190" max="8190" width="20.28515625" style="167" bestFit="1" customWidth="1"/>
    <col min="8191" max="8191" width="10.85546875" style="167" bestFit="1" customWidth="1"/>
    <col min="8192" max="8192" width="11.5703125" style="167" bestFit="1" customWidth="1"/>
    <col min="8193" max="8445" width="9.140625" style="167"/>
    <col min="8446" max="8446" width="20.28515625" style="167" bestFit="1" customWidth="1"/>
    <col min="8447" max="8447" width="10.85546875" style="167" bestFit="1" customWidth="1"/>
    <col min="8448" max="8448" width="11.5703125" style="167" bestFit="1" customWidth="1"/>
    <col min="8449" max="8701" width="9.140625" style="167"/>
    <col min="8702" max="8702" width="20.28515625" style="167" bestFit="1" customWidth="1"/>
    <col min="8703" max="8703" width="10.85546875" style="167" bestFit="1" customWidth="1"/>
    <col min="8704" max="8704" width="11.5703125" style="167" bestFit="1" customWidth="1"/>
    <col min="8705" max="8957" width="9.140625" style="167"/>
    <col min="8958" max="8958" width="20.28515625" style="167" bestFit="1" customWidth="1"/>
    <col min="8959" max="8959" width="10.85546875" style="167" bestFit="1" customWidth="1"/>
    <col min="8960" max="8960" width="11.5703125" style="167" bestFit="1" customWidth="1"/>
    <col min="8961" max="9213" width="9.140625" style="167"/>
    <col min="9214" max="9214" width="20.28515625" style="167" bestFit="1" customWidth="1"/>
    <col min="9215" max="9215" width="10.85546875" style="167" bestFit="1" customWidth="1"/>
    <col min="9216" max="9216" width="11.5703125" style="167" bestFit="1" customWidth="1"/>
    <col min="9217" max="9469" width="9.140625" style="167"/>
    <col min="9470" max="9470" width="20.28515625" style="167" bestFit="1" customWidth="1"/>
    <col min="9471" max="9471" width="10.85546875" style="167" bestFit="1" customWidth="1"/>
    <col min="9472" max="9472" width="11.5703125" style="167" bestFit="1" customWidth="1"/>
    <col min="9473" max="9725" width="9.140625" style="167"/>
    <col min="9726" max="9726" width="20.28515625" style="167" bestFit="1" customWidth="1"/>
    <col min="9727" max="9727" width="10.85546875" style="167" bestFit="1" customWidth="1"/>
    <col min="9728" max="9728" width="11.5703125" style="167" bestFit="1" customWidth="1"/>
    <col min="9729" max="9981" width="9.140625" style="167"/>
    <col min="9982" max="9982" width="20.28515625" style="167" bestFit="1" customWidth="1"/>
    <col min="9983" max="9983" width="10.85546875" style="167" bestFit="1" customWidth="1"/>
    <col min="9984" max="9984" width="11.5703125" style="167" bestFit="1" customWidth="1"/>
    <col min="9985" max="10237" width="9.140625" style="167"/>
    <col min="10238" max="10238" width="20.28515625" style="167" bestFit="1" customWidth="1"/>
    <col min="10239" max="10239" width="10.85546875" style="167" bestFit="1" customWidth="1"/>
    <col min="10240" max="10240" width="11.5703125" style="167" bestFit="1" customWidth="1"/>
    <col min="10241" max="10493" width="9.140625" style="167"/>
    <col min="10494" max="10494" width="20.28515625" style="167" bestFit="1" customWidth="1"/>
    <col min="10495" max="10495" width="10.85546875" style="167" bestFit="1" customWidth="1"/>
    <col min="10496" max="10496" width="11.5703125" style="167" bestFit="1" customWidth="1"/>
    <col min="10497" max="10749" width="9.140625" style="167"/>
    <col min="10750" max="10750" width="20.28515625" style="167" bestFit="1" customWidth="1"/>
    <col min="10751" max="10751" width="10.85546875" style="167" bestFit="1" customWidth="1"/>
    <col min="10752" max="10752" width="11.5703125" style="167" bestFit="1" customWidth="1"/>
    <col min="10753" max="11005" width="9.140625" style="167"/>
    <col min="11006" max="11006" width="20.28515625" style="167" bestFit="1" customWidth="1"/>
    <col min="11007" max="11007" width="10.85546875" style="167" bestFit="1" customWidth="1"/>
    <col min="11008" max="11008" width="11.5703125" style="167" bestFit="1" customWidth="1"/>
    <col min="11009" max="11261" width="9.140625" style="167"/>
    <col min="11262" max="11262" width="20.28515625" style="167" bestFit="1" customWidth="1"/>
    <col min="11263" max="11263" width="10.85546875" style="167" bestFit="1" customWidth="1"/>
    <col min="11264" max="11264" width="11.5703125" style="167" bestFit="1" customWidth="1"/>
    <col min="11265" max="11517" width="9.140625" style="167"/>
    <col min="11518" max="11518" width="20.28515625" style="167" bestFit="1" customWidth="1"/>
    <col min="11519" max="11519" width="10.85546875" style="167" bestFit="1" customWidth="1"/>
    <col min="11520" max="11520" width="11.5703125" style="167" bestFit="1" customWidth="1"/>
    <col min="11521" max="11773" width="9.140625" style="167"/>
    <col min="11774" max="11774" width="20.28515625" style="167" bestFit="1" customWidth="1"/>
    <col min="11775" max="11775" width="10.85546875" style="167" bestFit="1" customWidth="1"/>
    <col min="11776" max="11776" width="11.5703125" style="167" bestFit="1" customWidth="1"/>
    <col min="11777" max="12029" width="9.140625" style="167"/>
    <col min="12030" max="12030" width="20.28515625" style="167" bestFit="1" customWidth="1"/>
    <col min="12031" max="12031" width="10.85546875" style="167" bestFit="1" customWidth="1"/>
    <col min="12032" max="12032" width="11.5703125" style="167" bestFit="1" customWidth="1"/>
    <col min="12033" max="12285" width="9.140625" style="167"/>
    <col min="12286" max="12286" width="20.28515625" style="167" bestFit="1" customWidth="1"/>
    <col min="12287" max="12287" width="10.85546875" style="167" bestFit="1" customWidth="1"/>
    <col min="12288" max="12288" width="11.5703125" style="167" bestFit="1" customWidth="1"/>
    <col min="12289" max="12541" width="9.140625" style="167"/>
    <col min="12542" max="12542" width="20.28515625" style="167" bestFit="1" customWidth="1"/>
    <col min="12543" max="12543" width="10.85546875" style="167" bestFit="1" customWidth="1"/>
    <col min="12544" max="12544" width="11.5703125" style="167" bestFit="1" customWidth="1"/>
    <col min="12545" max="12797" width="9.140625" style="167"/>
    <col min="12798" max="12798" width="20.28515625" style="167" bestFit="1" customWidth="1"/>
    <col min="12799" max="12799" width="10.85546875" style="167" bestFit="1" customWidth="1"/>
    <col min="12800" max="12800" width="11.5703125" style="167" bestFit="1" customWidth="1"/>
    <col min="12801" max="13053" width="9.140625" style="167"/>
    <col min="13054" max="13054" width="20.28515625" style="167" bestFit="1" customWidth="1"/>
    <col min="13055" max="13055" width="10.85546875" style="167" bestFit="1" customWidth="1"/>
    <col min="13056" max="13056" width="11.5703125" style="167" bestFit="1" customWidth="1"/>
    <col min="13057" max="13309" width="9.140625" style="167"/>
    <col min="13310" max="13310" width="20.28515625" style="167" bestFit="1" customWidth="1"/>
    <col min="13311" max="13311" width="10.85546875" style="167" bestFit="1" customWidth="1"/>
    <col min="13312" max="13312" width="11.5703125" style="167" bestFit="1" customWidth="1"/>
    <col min="13313" max="13565" width="9.140625" style="167"/>
    <col min="13566" max="13566" width="20.28515625" style="167" bestFit="1" customWidth="1"/>
    <col min="13567" max="13567" width="10.85546875" style="167" bestFit="1" customWidth="1"/>
    <col min="13568" max="13568" width="11.5703125" style="167" bestFit="1" customWidth="1"/>
    <col min="13569" max="13821" width="9.140625" style="167"/>
    <col min="13822" max="13822" width="20.28515625" style="167" bestFit="1" customWidth="1"/>
    <col min="13823" max="13823" width="10.85546875" style="167" bestFit="1" customWidth="1"/>
    <col min="13824" max="13824" width="11.5703125" style="167" bestFit="1" customWidth="1"/>
    <col min="13825" max="14077" width="9.140625" style="167"/>
    <col min="14078" max="14078" width="20.28515625" style="167" bestFit="1" customWidth="1"/>
    <col min="14079" max="14079" width="10.85546875" style="167" bestFit="1" customWidth="1"/>
    <col min="14080" max="14080" width="11.5703125" style="167" bestFit="1" customWidth="1"/>
    <col min="14081" max="14333" width="9.140625" style="167"/>
    <col min="14334" max="14334" width="20.28515625" style="167" bestFit="1" customWidth="1"/>
    <col min="14335" max="14335" width="10.85546875" style="167" bestFit="1" customWidth="1"/>
    <col min="14336" max="14336" width="11.5703125" style="167" bestFit="1" customWidth="1"/>
    <col min="14337" max="14589" width="9.140625" style="167"/>
    <col min="14590" max="14590" width="20.28515625" style="167" bestFit="1" customWidth="1"/>
    <col min="14591" max="14591" width="10.85546875" style="167" bestFit="1" customWidth="1"/>
    <col min="14592" max="14592" width="11.5703125" style="167" bestFit="1" customWidth="1"/>
    <col min="14593" max="14845" width="9.140625" style="167"/>
    <col min="14846" max="14846" width="20.28515625" style="167" bestFit="1" customWidth="1"/>
    <col min="14847" max="14847" width="10.85546875" style="167" bestFit="1" customWidth="1"/>
    <col min="14848" max="14848" width="11.5703125" style="167" bestFit="1" customWidth="1"/>
    <col min="14849" max="15101" width="9.140625" style="167"/>
    <col min="15102" max="15102" width="20.28515625" style="167" bestFit="1" customWidth="1"/>
    <col min="15103" max="15103" width="10.85546875" style="167" bestFit="1" customWidth="1"/>
    <col min="15104" max="15104" width="11.5703125" style="167" bestFit="1" customWidth="1"/>
    <col min="15105" max="15357" width="9.140625" style="167"/>
    <col min="15358" max="15358" width="20.28515625" style="167" bestFit="1" customWidth="1"/>
    <col min="15359" max="15359" width="10.85546875" style="167" bestFit="1" customWidth="1"/>
    <col min="15360" max="15360" width="11.5703125" style="167" bestFit="1" customWidth="1"/>
    <col min="15361" max="15613" width="9.140625" style="167"/>
    <col min="15614" max="15614" width="20.28515625" style="167" bestFit="1" customWidth="1"/>
    <col min="15615" max="15615" width="10.85546875" style="167" bestFit="1" customWidth="1"/>
    <col min="15616" max="15616" width="11.5703125" style="167" bestFit="1" customWidth="1"/>
    <col min="15617" max="15869" width="9.140625" style="167"/>
    <col min="15870" max="15870" width="20.28515625" style="167" bestFit="1" customWidth="1"/>
    <col min="15871" max="15871" width="10.85546875" style="167" bestFit="1" customWidth="1"/>
    <col min="15872" max="15872" width="11.5703125" style="167" bestFit="1" customWidth="1"/>
    <col min="15873" max="16125" width="9.140625" style="167"/>
    <col min="16126" max="16126" width="20.28515625" style="167" bestFit="1" customWidth="1"/>
    <col min="16127" max="16127" width="10.85546875" style="167" bestFit="1" customWidth="1"/>
    <col min="16128" max="16128" width="11.5703125" style="167" bestFit="1" customWidth="1"/>
    <col min="16129" max="16384" width="9.140625" style="167"/>
  </cols>
  <sheetData>
    <row r="2" spans="4:29" ht="20.100000000000001" customHeight="1" x14ac:dyDescent="0.25">
      <c r="H2" s="167" t="s">
        <v>107</v>
      </c>
    </row>
    <row r="3" spans="4:29" ht="12.75" x14ac:dyDescent="0.25">
      <c r="D3" s="169">
        <f ca="1">TODAY()</f>
        <v>44157</v>
      </c>
      <c r="E3" s="169">
        <v>44255</v>
      </c>
      <c r="F3" s="167">
        <f ca="1">E3-D3</f>
        <v>98</v>
      </c>
      <c r="G3" s="167">
        <f ca="1">IF(F3&gt;0,1,0)</f>
        <v>1</v>
      </c>
      <c r="H3" s="170" t="s">
        <v>0</v>
      </c>
      <c r="Z3" s="168">
        <f ca="1">IF(AA3&gt;0,LOOKUP(R5,'PC-NICSACO.COM'!D28:D34,'PC-NICSACO.COM'!E28:E34),0)</f>
        <v>1218180000</v>
      </c>
      <c r="AA3" s="167">
        <f ca="1">Performa!E15</f>
        <v>1</v>
      </c>
      <c r="AB3" s="167">
        <f>Performa!F15</f>
        <v>1</v>
      </c>
      <c r="AC3" s="170"/>
    </row>
    <row r="4" spans="4:29" ht="12.75" x14ac:dyDescent="0.25">
      <c r="R4" s="167" t="s">
        <v>73</v>
      </c>
      <c r="U4" s="167" t="s">
        <v>157</v>
      </c>
      <c r="V4" s="167">
        <v>64</v>
      </c>
      <c r="Z4" s="168">
        <f ca="1">IF(AA4&gt;0,VLOOKUP(R6,'PC-NICSACO.COM'!D42:E45,2,FALSE),0)</f>
        <v>78900000</v>
      </c>
      <c r="AA4" s="167">
        <f ca="1">Performa!E16</f>
        <v>1</v>
      </c>
      <c r="AB4" s="167">
        <f>Performa!F16</f>
        <v>1</v>
      </c>
      <c r="AC4" s="170"/>
    </row>
    <row r="5" spans="4:29" ht="12.75" x14ac:dyDescent="0.25">
      <c r="P5" s="167">
        <f>Performa!F15</f>
        <v>1</v>
      </c>
      <c r="Q5" s="167">
        <f ca="1">IF('Input Data'!AS35=NICSACO.COM!T41,0,1)*$R$42</f>
        <v>1</v>
      </c>
      <c r="R5" s="171" t="str">
        <f>IF('Input Data'!AS35=T41,R4,'Input Data'!AS35)</f>
        <v>CPU317-NDP</v>
      </c>
      <c r="S5" s="172"/>
      <c r="T5" s="168"/>
      <c r="U5" s="167" t="s">
        <v>158</v>
      </c>
      <c r="V5" s="167">
        <v>128</v>
      </c>
      <c r="Z5" s="168">
        <f ca="1">IF(AA5&gt;0,VLOOKUP(R7,'PC-NICSACO.COM'!D47:E48,2,FALSE),0)</f>
        <v>43098000</v>
      </c>
      <c r="AA5" s="167">
        <f ca="1">Performa!E17</f>
        <v>4</v>
      </c>
      <c r="AB5" s="167">
        <f>Performa!F17</f>
        <v>1</v>
      </c>
      <c r="AC5" s="170"/>
    </row>
    <row r="6" spans="4:29" ht="12.75" x14ac:dyDescent="0.25">
      <c r="D6" s="167" t="s">
        <v>1</v>
      </c>
      <c r="E6" s="167" t="s">
        <v>2</v>
      </c>
      <c r="F6" s="167" t="s">
        <v>3</v>
      </c>
      <c r="G6" s="167" t="s">
        <v>4</v>
      </c>
      <c r="H6" s="167" t="s">
        <v>5</v>
      </c>
      <c r="J6" s="167" t="s">
        <v>6</v>
      </c>
      <c r="K6" s="167" t="s">
        <v>7</v>
      </c>
      <c r="L6" s="167" t="s">
        <v>8</v>
      </c>
      <c r="M6" s="167" t="s">
        <v>9</v>
      </c>
      <c r="N6" s="167" t="s">
        <v>10</v>
      </c>
      <c r="P6" s="167">
        <f>Performa!F16</f>
        <v>1</v>
      </c>
      <c r="Q6" s="167">
        <f ca="1">IF(Q5,1,0)*$R$42</f>
        <v>1</v>
      </c>
      <c r="R6" s="167" t="str">
        <f>IF(U9&lt;65,U4,IF(U9&lt;129,U5,IF(U9&lt;513,U6,U7)))</f>
        <v>2MB</v>
      </c>
      <c r="U6" s="167" t="s">
        <v>159</v>
      </c>
      <c r="V6" s="167">
        <v>512</v>
      </c>
      <c r="Z6" s="168">
        <f ca="1">IF(AA6&gt;0,VLOOKUP(R8,'PC-NICSACO.COM'!D18:E20,2,FALSE),0)</f>
        <v>423300000</v>
      </c>
      <c r="AA6" s="167">
        <f ca="1">Performa!E18</f>
        <v>1</v>
      </c>
      <c r="AB6" s="167">
        <f>Performa!F18</f>
        <v>1</v>
      </c>
      <c r="AC6" s="170"/>
    </row>
    <row r="7" spans="4:29" ht="12.75" x14ac:dyDescent="0.25">
      <c r="D7" s="167">
        <f>'Input Data'!F15</f>
        <v>20</v>
      </c>
      <c r="E7" s="167">
        <f>'Input Data'!G15</f>
        <v>3</v>
      </c>
      <c r="F7" s="167">
        <f>'Input Data'!H15</f>
        <v>1</v>
      </c>
      <c r="G7" s="167">
        <f>'Input Data'!I15</f>
        <v>0</v>
      </c>
      <c r="H7" s="167">
        <f>'Input Data'!J15</f>
        <v>0</v>
      </c>
      <c r="K7" s="167">
        <v>3</v>
      </c>
      <c r="L7" s="167">
        <v>1</v>
      </c>
      <c r="P7" s="167">
        <f>Performa!F17</f>
        <v>1</v>
      </c>
      <c r="Q7" s="167">
        <f ca="1">(FIXED(O28/12+0.49,0)+1)*$R$42</f>
        <v>4</v>
      </c>
      <c r="R7" s="167" t="str">
        <f ca="1">IF(O28&gt;4,O46,O45)</f>
        <v>5A</v>
      </c>
      <c r="T7" s="168"/>
      <c r="U7" s="167" t="s">
        <v>160</v>
      </c>
      <c r="V7" s="167">
        <v>2000</v>
      </c>
      <c r="Z7" s="168">
        <f ca="1">IF(AA7&gt;0,'PC-NICSACO.COM'!E34,0)</f>
        <v>81300000</v>
      </c>
      <c r="AA7" s="167">
        <f ca="1">Performa!E19</f>
        <v>3</v>
      </c>
      <c r="AB7" s="167">
        <f>Performa!F19</f>
        <v>1</v>
      </c>
      <c r="AC7" s="170"/>
    </row>
    <row r="8" spans="4:29" ht="12.75" x14ac:dyDescent="0.25">
      <c r="D8" s="167">
        <f>'Input Data'!F16</f>
        <v>0</v>
      </c>
      <c r="E8" s="167">
        <f>'Input Data'!G16</f>
        <v>3</v>
      </c>
      <c r="F8" s="167">
        <f>'Input Data'!H16</f>
        <v>2</v>
      </c>
      <c r="G8" s="167">
        <f>'Input Data'!I16</f>
        <v>0</v>
      </c>
      <c r="H8" s="167">
        <f>'Input Data'!J16</f>
        <v>0</v>
      </c>
      <c r="K8" s="167">
        <v>3</v>
      </c>
      <c r="L8" s="167">
        <v>2</v>
      </c>
      <c r="P8" s="167">
        <f>Performa!F18</f>
        <v>1</v>
      </c>
      <c r="Q8" s="167">
        <f ca="1">IF('Input Data'!AS33=M37,0,1)*$R$42</f>
        <v>1</v>
      </c>
      <c r="R8" s="167" t="str">
        <f>'Input Data'!AS33</f>
        <v>12"</v>
      </c>
      <c r="T8" s="168"/>
      <c r="U8" s="167">
        <f>D31</f>
        <v>173</v>
      </c>
      <c r="Z8" s="168">
        <f ca="1">IF(AA8&gt;0,'PC-NICSACO.COM'!E2,0)</f>
        <v>98661000</v>
      </c>
      <c r="AA8" s="167">
        <f ca="1">Performa!E20</f>
        <v>11</v>
      </c>
      <c r="AB8" s="167">
        <f>Performa!F20</f>
        <v>1</v>
      </c>
      <c r="AC8" s="170"/>
    </row>
    <row r="9" spans="4:29" ht="12.75" x14ac:dyDescent="0.25">
      <c r="D9" s="167">
        <f>'Input Data'!F17</f>
        <v>10</v>
      </c>
      <c r="E9" s="167">
        <f>'Input Data'!G17</f>
        <v>4</v>
      </c>
      <c r="F9" s="167">
        <f>'Input Data'!H17</f>
        <v>2</v>
      </c>
      <c r="G9" s="167">
        <f>'Input Data'!I17</f>
        <v>0</v>
      </c>
      <c r="H9" s="167">
        <f>'Input Data'!J17</f>
        <v>0</v>
      </c>
      <c r="K9" s="167">
        <v>4</v>
      </c>
      <c r="L9" s="167">
        <v>2</v>
      </c>
      <c r="O9" s="167" t="s">
        <v>137</v>
      </c>
      <c r="P9" s="167">
        <f>Performa!F19</f>
        <v>1</v>
      </c>
      <c r="Q9" s="167">
        <f ca="1">(Q23-Q5)*$R$42</f>
        <v>3</v>
      </c>
      <c r="T9" s="167" t="s">
        <v>138</v>
      </c>
      <c r="U9" s="166">
        <f>U8*6</f>
        <v>1038</v>
      </c>
      <c r="Z9" s="168">
        <f ca="1">IF(AA9&gt;0,'PC-NICSACO.COM'!E3,0)</f>
        <v>49166999.999999993</v>
      </c>
      <c r="AA9" s="167">
        <f ca="1">Performa!E21</f>
        <v>1</v>
      </c>
      <c r="AB9" s="167">
        <f>Performa!F21</f>
        <v>1</v>
      </c>
      <c r="AC9" s="170"/>
    </row>
    <row r="10" spans="4:29" ht="12.75" x14ac:dyDescent="0.25">
      <c r="D10" s="167">
        <f>'Input Data'!F18</f>
        <v>0</v>
      </c>
      <c r="E10" s="167">
        <f>'Input Data'!G18</f>
        <v>4</v>
      </c>
      <c r="F10" s="167">
        <f>'Input Data'!H18</f>
        <v>3</v>
      </c>
      <c r="G10" s="167">
        <f>'Input Data'!I18</f>
        <v>0</v>
      </c>
      <c r="H10" s="167">
        <f>'Input Data'!J18</f>
        <v>0</v>
      </c>
      <c r="K10" s="167">
        <v>4</v>
      </c>
      <c r="L10" s="167">
        <v>3</v>
      </c>
      <c r="O10" s="167">
        <f ca="1">'Input Data'!AK17</f>
        <v>11</v>
      </c>
      <c r="P10" s="167">
        <f>Performa!F20</f>
        <v>1</v>
      </c>
      <c r="Q10" s="167">
        <f ca="1">O10*$R$42</f>
        <v>11</v>
      </c>
      <c r="T10" s="167">
        <f ca="1">Performa!E15*Performa!F15*92</f>
        <v>92</v>
      </c>
      <c r="Z10" s="168">
        <f ca="1">IF(AA10&gt;0,'PC-NICSACO.COM'!E4,0)</f>
        <v>0</v>
      </c>
      <c r="AA10" s="167">
        <f ca="1">Performa!E22</f>
        <v>0</v>
      </c>
      <c r="AB10" s="167">
        <f>Performa!F22</f>
        <v>1</v>
      </c>
      <c r="AC10" s="170"/>
    </row>
    <row r="11" spans="4:29" ht="12.75" x14ac:dyDescent="0.25">
      <c r="D11" s="167">
        <f>'Input Data'!F19</f>
        <v>0</v>
      </c>
      <c r="E11" s="167">
        <f>'Input Data'!G19</f>
        <v>0</v>
      </c>
      <c r="F11" s="167">
        <f>'Input Data'!H19</f>
        <v>0</v>
      </c>
      <c r="G11" s="167">
        <f>'Input Data'!I19</f>
        <v>0</v>
      </c>
      <c r="H11" s="167">
        <f>'Input Data'!J19</f>
        <v>0</v>
      </c>
      <c r="O11" s="167">
        <f ca="1">'Input Data'!AK18</f>
        <v>1</v>
      </c>
      <c r="P11" s="167">
        <f>Performa!F21</f>
        <v>1</v>
      </c>
      <c r="Q11" s="167">
        <f t="shared" ref="Q11:Q12" ca="1" si="0">O11*$R$42</f>
        <v>1</v>
      </c>
      <c r="T11" s="167">
        <f ca="1">Performa!E17*Performa!F17*92</f>
        <v>368</v>
      </c>
      <c r="U11" s="167" t="s">
        <v>130</v>
      </c>
      <c r="V11" s="168">
        <f>80*60*10000</f>
        <v>48000000</v>
      </c>
      <c r="Z11" s="168">
        <f ca="1">IF(AA11&gt;0,'PC-NICSACO.COM'!E6,0)</f>
        <v>136608000</v>
      </c>
      <c r="AA11" s="167">
        <f ca="1">Performa!E23</f>
        <v>5</v>
      </c>
      <c r="AB11" s="167">
        <f>Performa!F23</f>
        <v>1</v>
      </c>
      <c r="AC11" s="170"/>
    </row>
    <row r="12" spans="4:29" ht="12.75" x14ac:dyDescent="0.25">
      <c r="E12" s="167">
        <f ca="1">($D7*E7+$D8*E8+$D9*E9+$D10*E10+$D11*E11)*$G$3</f>
        <v>100</v>
      </c>
      <c r="F12" s="167">
        <f ca="1">($D7*F7+$D8*F8+$D9*F9+$D10*F10+$D11*F11)*$G$3</f>
        <v>40</v>
      </c>
      <c r="G12" s="167">
        <f t="shared" ref="G12:H12" ca="1" si="1">($D7*G7+$D8*G8+$D9*G9+$D10*G10+$D11*G11)*$G$3</f>
        <v>0</v>
      </c>
      <c r="H12" s="167">
        <f t="shared" ca="1" si="1"/>
        <v>0</v>
      </c>
      <c r="O12" s="167">
        <f ca="1">'Input Data'!AK19</f>
        <v>0</v>
      </c>
      <c r="P12" s="167">
        <f>Performa!F22</f>
        <v>1</v>
      </c>
      <c r="Q12" s="167">
        <f t="shared" ca="1" si="0"/>
        <v>0</v>
      </c>
      <c r="T12" s="167">
        <f ca="1">Performa!E19*Performa!F19*92</f>
        <v>276</v>
      </c>
      <c r="U12" s="167" t="s">
        <v>133</v>
      </c>
      <c r="V12" s="168">
        <f>70*100*10000</f>
        <v>70000000</v>
      </c>
      <c r="Z12" s="168">
        <f ca="1">IF(AA12&gt;0,'PC-NICSACO.COM'!E7,0)</f>
        <v>68061000</v>
      </c>
      <c r="AA12" s="167">
        <f ca="1">Performa!E24</f>
        <v>1</v>
      </c>
      <c r="AB12" s="167">
        <f>Performa!F24</f>
        <v>1</v>
      </c>
      <c r="AC12" s="170"/>
    </row>
    <row r="13" spans="4:29" ht="12.75" x14ac:dyDescent="0.25">
      <c r="D13" s="167">
        <f>'Input Data'!P15</f>
        <v>25</v>
      </c>
      <c r="E13" s="167">
        <f>'Input Data'!Q15</f>
        <v>0</v>
      </c>
      <c r="F13" s="167">
        <f>'Input Data'!R15</f>
        <v>0</v>
      </c>
      <c r="G13" s="167">
        <f>'Input Data'!S15</f>
        <v>1</v>
      </c>
      <c r="H13" s="167">
        <f>'Input Data'!T15</f>
        <v>0</v>
      </c>
      <c r="M13" s="167">
        <v>1</v>
      </c>
      <c r="O13" s="167">
        <f ca="1">(O10*32+O11*16+O12*8)*G3</f>
        <v>368</v>
      </c>
      <c r="P13" s="167">
        <f>Performa!F23</f>
        <v>1</v>
      </c>
      <c r="Q13" s="167">
        <f ca="1">O14*$R$42</f>
        <v>5</v>
      </c>
      <c r="T13" s="167">
        <f ca="1">Performa!E20*Performa!F20*92</f>
        <v>1012</v>
      </c>
      <c r="U13" s="167" t="s">
        <v>132</v>
      </c>
      <c r="V13" s="168">
        <f>80*110*10000</f>
        <v>88000000</v>
      </c>
      <c r="Z13" s="168">
        <f ca="1">IF(AA13&gt;0,'PC-NICSACO.COM'!E8,0)</f>
        <v>0</v>
      </c>
      <c r="AA13" s="167">
        <f ca="1">Performa!E25</f>
        <v>0</v>
      </c>
      <c r="AB13" s="167">
        <f>Performa!F25</f>
        <v>1</v>
      </c>
      <c r="AC13" s="170"/>
    </row>
    <row r="14" spans="4:29" ht="12.75" x14ac:dyDescent="0.25">
      <c r="D14" s="167">
        <f>'Input Data'!P16</f>
        <v>33</v>
      </c>
      <c r="E14" s="167">
        <f>'Input Data'!Q16</f>
        <v>1</v>
      </c>
      <c r="F14" s="167">
        <f>'Input Data'!R16</f>
        <v>0</v>
      </c>
      <c r="G14" s="167">
        <f>'Input Data'!S16</f>
        <v>1</v>
      </c>
      <c r="H14" s="167">
        <f>'Input Data'!T16</f>
        <v>0</v>
      </c>
      <c r="K14" s="167">
        <v>1</v>
      </c>
      <c r="O14" s="167">
        <f ca="1">'Input Data'!AK21</f>
        <v>5</v>
      </c>
      <c r="P14" s="167">
        <f>Performa!F24</f>
        <v>1</v>
      </c>
      <c r="Q14" s="167">
        <f t="shared" ref="Q14:Q15" ca="1" si="2">O15*$R$42</f>
        <v>1</v>
      </c>
      <c r="T14" s="167">
        <f ca="1">Performa!E21*Performa!F21*92</f>
        <v>92</v>
      </c>
      <c r="U14" s="167" t="s">
        <v>131</v>
      </c>
      <c r="V14" s="168">
        <f>100*140*10000</f>
        <v>140000000</v>
      </c>
      <c r="Z14" s="168">
        <f ca="1">IF(AA14&gt;0,'PC-NICSACO.COM'!E10,0)</f>
        <v>196239000</v>
      </c>
      <c r="AA14" s="167">
        <f ca="1">Performa!E26</f>
        <v>10</v>
      </c>
      <c r="AB14" s="167">
        <f>Performa!F26</f>
        <v>1</v>
      </c>
      <c r="AC14" s="170"/>
    </row>
    <row r="15" spans="4:29" ht="12.75" x14ac:dyDescent="0.25">
      <c r="D15" s="167">
        <f>'Input Data'!P17</f>
        <v>2</v>
      </c>
      <c r="E15" s="167">
        <f>'Input Data'!Q17</f>
        <v>2</v>
      </c>
      <c r="F15" s="167">
        <f>'Input Data'!R17</f>
        <v>0</v>
      </c>
      <c r="G15" s="167">
        <f>'Input Data'!S17</f>
        <v>1</v>
      </c>
      <c r="H15" s="167">
        <f>'Input Data'!T17</f>
        <v>0</v>
      </c>
      <c r="K15" s="167">
        <v>2</v>
      </c>
      <c r="O15" s="167">
        <f ca="1">'Input Data'!AK22</f>
        <v>1</v>
      </c>
      <c r="P15" s="167">
        <f>Performa!F25</f>
        <v>1</v>
      </c>
      <c r="Q15" s="167">
        <f t="shared" ca="1" si="2"/>
        <v>0</v>
      </c>
      <c r="T15" s="167">
        <f ca="1">Performa!E22*Performa!F22*92</f>
        <v>0</v>
      </c>
      <c r="U15" s="167" t="s">
        <v>134</v>
      </c>
      <c r="V15" s="168">
        <v>180000000</v>
      </c>
      <c r="AC15" s="170"/>
    </row>
    <row r="16" spans="4:29" ht="12.75" x14ac:dyDescent="0.25">
      <c r="D16" s="167">
        <f>'Input Data'!P18</f>
        <v>0</v>
      </c>
      <c r="E16" s="167">
        <f>'Input Data'!Q18</f>
        <v>2</v>
      </c>
      <c r="F16" s="167">
        <f>'Input Data'!R18</f>
        <v>0</v>
      </c>
      <c r="G16" s="167">
        <f>'Input Data'!S18</f>
        <v>1</v>
      </c>
      <c r="H16" s="167">
        <f>'Input Data'!T18</f>
        <v>0</v>
      </c>
      <c r="K16" s="167">
        <v>2</v>
      </c>
      <c r="M16" s="167">
        <v>1</v>
      </c>
      <c r="O16" s="167">
        <f ca="1">'Input Data'!AK23</f>
        <v>0</v>
      </c>
      <c r="P16" s="167">
        <f>Performa!F26</f>
        <v>1</v>
      </c>
      <c r="Q16" s="167">
        <f ca="1">O18*$R$42</f>
        <v>10</v>
      </c>
      <c r="T16" s="167">
        <f ca="1">Performa!E23*Performa!F23*92</f>
        <v>460</v>
      </c>
      <c r="U16" s="166"/>
      <c r="Z16" s="168">
        <f ca="1">IF(AA16&gt;0,'PC-NICSACO.COM'!E12,0)</f>
        <v>0</v>
      </c>
      <c r="AA16" s="167">
        <f ca="1">Performa!E27</f>
        <v>0</v>
      </c>
      <c r="AB16" s="167">
        <f>Performa!F27</f>
        <v>1</v>
      </c>
      <c r="AC16" s="170"/>
    </row>
    <row r="17" spans="4:29" ht="12.75" x14ac:dyDescent="0.25">
      <c r="D17" s="167">
        <f>'Input Data'!P19</f>
        <v>0</v>
      </c>
      <c r="E17" s="167">
        <f>'Input Data'!Q19</f>
        <v>0</v>
      </c>
      <c r="F17" s="167">
        <f>'Input Data'!R19</f>
        <v>0</v>
      </c>
      <c r="G17" s="167">
        <f>'Input Data'!S19</f>
        <v>0</v>
      </c>
      <c r="H17" s="167">
        <f>'Input Data'!T19</f>
        <v>0</v>
      </c>
      <c r="O17" s="167">
        <f ca="1">(O14*32+O15*16+O16*8)*G3</f>
        <v>176</v>
      </c>
      <c r="P17" s="167">
        <f>Performa!F27</f>
        <v>1</v>
      </c>
      <c r="Q17" s="167">
        <f ca="1">O19*$R$42</f>
        <v>0</v>
      </c>
      <c r="T17" s="167">
        <f ca="1">Performa!E24*Performa!F24*92</f>
        <v>92</v>
      </c>
      <c r="Z17" s="168">
        <f ca="1">IF(AA17&gt;0,'PC-NICSACO.COM'!E14,0)</f>
        <v>294090000</v>
      </c>
      <c r="AA17" s="167">
        <f ca="1">Performa!E28</f>
        <v>2</v>
      </c>
      <c r="AB17" s="167">
        <f>Performa!F28</f>
        <v>1</v>
      </c>
      <c r="AC17" s="170"/>
    </row>
    <row r="18" spans="4:29" ht="12.75" x14ac:dyDescent="0.25">
      <c r="E18" s="167">
        <f ca="1">($D13*E13+$D14*E14+$D15*E15+$D16*E16+$D17*E17)*$G$3</f>
        <v>37</v>
      </c>
      <c r="F18" s="167">
        <f ca="1">($D13*F13+$D14*F14+$D15*F15+$D16*F16+$D17*F17)*$G$3</f>
        <v>0</v>
      </c>
      <c r="G18" s="167">
        <f t="shared" ref="G18" ca="1" si="3">($D13*G13+$D14*G14+$D15*G15+$D16*G16+$D17*G17)*$G$3</f>
        <v>60</v>
      </c>
      <c r="H18" s="167">
        <f t="shared" ref="H18" ca="1" si="4">($D13*H13+$D14*H14+$D15*H15+$D16*H16+$D17*H17)*$G$3</f>
        <v>0</v>
      </c>
      <c r="O18" s="167">
        <f ca="1">'Input Data'!AK25</f>
        <v>10</v>
      </c>
      <c r="P18" s="167">
        <f>Performa!F28</f>
        <v>1</v>
      </c>
      <c r="Q18" s="167">
        <f ca="1">O21*$R$42</f>
        <v>2</v>
      </c>
      <c r="T18" s="167">
        <f ca="1">Performa!E25*Performa!F25*92</f>
        <v>0</v>
      </c>
      <c r="U18" s="166"/>
      <c r="Z18" s="168">
        <f ca="1">IF(AA18&gt;0,'PC-NICSACO.COM'!E15,0)</f>
        <v>0</v>
      </c>
      <c r="AA18" s="167">
        <f ca="1">Performa!E29</f>
        <v>0</v>
      </c>
      <c r="AB18" s="167">
        <f>Performa!F29</f>
        <v>1</v>
      </c>
      <c r="AC18" s="170"/>
    </row>
    <row r="19" spans="4:29" ht="12.75" x14ac:dyDescent="0.25">
      <c r="D19" s="167">
        <f>'Input Data'!F26</f>
        <v>55</v>
      </c>
      <c r="E19" s="167">
        <f>'Input Data'!G26</f>
        <v>0</v>
      </c>
      <c r="F19" s="167">
        <f>'Input Data'!H26</f>
        <v>1</v>
      </c>
      <c r="G19" s="167">
        <f>'Input Data'!I26</f>
        <v>0</v>
      </c>
      <c r="H19" s="167">
        <f>'Input Data'!J26</f>
        <v>0</v>
      </c>
      <c r="L19" s="167">
        <v>1</v>
      </c>
      <c r="O19" s="167">
        <f ca="1">'Input Data'!AK26</f>
        <v>0</v>
      </c>
      <c r="P19" s="167">
        <f>Performa!F29</f>
        <v>1</v>
      </c>
      <c r="Q19" s="167">
        <f t="shared" ref="Q19:Q20" ca="1" si="5">O22*$R$42</f>
        <v>0</v>
      </c>
      <c r="T19" s="167">
        <f ca="1">Performa!E26*Performa!F26*92</f>
        <v>920</v>
      </c>
      <c r="U19" s="166"/>
      <c r="Z19" s="168">
        <f ca="1">IF(AA19&gt;0,'PC-NICSACO.COM'!E16,0)</f>
        <v>157478999.99999997</v>
      </c>
      <c r="AA19" s="167">
        <f ca="1">Performa!E30</f>
        <v>1</v>
      </c>
      <c r="AB19" s="167">
        <f>Performa!F30</f>
        <v>1</v>
      </c>
      <c r="AC19" s="170"/>
    </row>
    <row r="20" spans="4:29" ht="12.75" x14ac:dyDescent="0.25">
      <c r="D20" s="167">
        <f>'Input Data'!F27</f>
        <v>10</v>
      </c>
      <c r="E20" s="167">
        <f>'Input Data'!G27</f>
        <v>1</v>
      </c>
      <c r="F20" s="167">
        <f>'Input Data'!H27</f>
        <v>2</v>
      </c>
      <c r="G20" s="167">
        <f>'Input Data'!I27</f>
        <v>0</v>
      </c>
      <c r="H20" s="167">
        <f>'Input Data'!J27</f>
        <v>0</v>
      </c>
      <c r="K20" s="167">
        <v>2</v>
      </c>
      <c r="L20" s="167">
        <v>1</v>
      </c>
      <c r="O20" s="167">
        <f ca="1">(O18*8+O19*2)*G3</f>
        <v>80</v>
      </c>
      <c r="P20" s="167">
        <f>Performa!F30</f>
        <v>1</v>
      </c>
      <c r="Q20" s="167">
        <f t="shared" ca="1" si="5"/>
        <v>1</v>
      </c>
      <c r="T20" s="167">
        <f ca="1">Performa!E27*Performa!F27*92</f>
        <v>0</v>
      </c>
      <c r="U20" s="166"/>
      <c r="Z20" s="168">
        <f ca="1">IF(AA20&gt;0,'PC-NICSACO.COM'!E36,0)</f>
        <v>12120000</v>
      </c>
      <c r="AA20" s="167">
        <f ca="1">Performa!E31</f>
        <v>28</v>
      </c>
      <c r="AB20" s="167">
        <f>Performa!F31</f>
        <v>1</v>
      </c>
      <c r="AC20" s="170"/>
    </row>
    <row r="21" spans="4:29" ht="12.75" x14ac:dyDescent="0.25">
      <c r="D21" s="167">
        <f>'Input Data'!F28</f>
        <v>0</v>
      </c>
      <c r="E21" s="167">
        <f>'Input Data'!G28</f>
        <v>2</v>
      </c>
      <c r="F21" s="167">
        <f>'Input Data'!H28</f>
        <v>2</v>
      </c>
      <c r="G21" s="167">
        <f>'Input Data'!I28</f>
        <v>0</v>
      </c>
      <c r="H21" s="167">
        <f>'Input Data'!J28</f>
        <v>0</v>
      </c>
      <c r="K21" s="167">
        <v>2</v>
      </c>
      <c r="L21" s="167">
        <v>2</v>
      </c>
      <c r="O21" s="167">
        <f ca="1">'Input Data'!AK29</f>
        <v>2</v>
      </c>
      <c r="P21" s="167">
        <f>Performa!F31</f>
        <v>1</v>
      </c>
      <c r="Q21" s="167">
        <f ca="1">O26*$R$42</f>
        <v>28</v>
      </c>
      <c r="T21" s="167">
        <f ca="1">Performa!E28*Performa!F28*92</f>
        <v>184</v>
      </c>
      <c r="Z21" s="168">
        <f ca="1">IF(AA21&gt;0,'PC-NICSACO.COM'!E37,0)</f>
        <v>7673999.9999999991</v>
      </c>
      <c r="AA21" s="167">
        <f ca="1">Performa!E32</f>
        <v>3</v>
      </c>
      <c r="AB21" s="167">
        <f>Performa!F32</f>
        <v>1</v>
      </c>
      <c r="AC21" s="170"/>
    </row>
    <row r="22" spans="4:29" ht="12.75" x14ac:dyDescent="0.25">
      <c r="D22" s="167">
        <f>'Input Data'!F29</f>
        <v>15</v>
      </c>
      <c r="E22" s="167">
        <f>'Input Data'!G29</f>
        <v>10</v>
      </c>
      <c r="F22" s="167">
        <f>'Input Data'!H29</f>
        <v>2</v>
      </c>
      <c r="G22" s="167">
        <f>'Input Data'!I29</f>
        <v>0</v>
      </c>
      <c r="H22" s="167">
        <f>'Input Data'!J29</f>
        <v>0</v>
      </c>
      <c r="K22" s="167">
        <v>10</v>
      </c>
      <c r="L22" s="167">
        <v>2</v>
      </c>
      <c r="O22" s="167">
        <f ca="1">'Input Data'!AK30</f>
        <v>0</v>
      </c>
      <c r="P22" s="167">
        <f>Performa!F32</f>
        <v>1</v>
      </c>
      <c r="Q22" s="167">
        <f ca="1">O27*$R$42</f>
        <v>3</v>
      </c>
      <c r="T22" s="167">
        <f ca="1">Performa!E29*Performa!F29*92</f>
        <v>0</v>
      </c>
      <c r="Z22" s="168">
        <f ca="1">IF(AA22&gt;0,'PC-NICSACO.COM'!E40,0)</f>
        <v>12900000</v>
      </c>
      <c r="AA22" s="167">
        <f ca="1">Performa!E33</f>
        <v>4</v>
      </c>
      <c r="AB22" s="167">
        <f>Performa!F33</f>
        <v>1</v>
      </c>
      <c r="AC22" s="170"/>
    </row>
    <row r="23" spans="4:29" ht="12.75" x14ac:dyDescent="0.25">
      <c r="D23" s="167">
        <f>'Input Data'!F30</f>
        <v>0</v>
      </c>
      <c r="E23" s="167">
        <f>'Input Data'!G30</f>
        <v>0</v>
      </c>
      <c r="F23" s="167">
        <f>'Input Data'!H30</f>
        <v>0</v>
      </c>
      <c r="G23" s="167">
        <f>'Input Data'!I30</f>
        <v>0</v>
      </c>
      <c r="H23" s="167">
        <f>'Input Data'!J30</f>
        <v>0</v>
      </c>
      <c r="O23" s="167">
        <f ca="1">'Input Data'!AK31</f>
        <v>1</v>
      </c>
      <c r="P23" s="167">
        <f>Performa!F33</f>
        <v>1</v>
      </c>
      <c r="Q23" s="167">
        <f ca="1">FIXED(O28/8+0.49,0)*$R$42</f>
        <v>4</v>
      </c>
      <c r="T23" s="167">
        <f ca="1">Performa!E30*Performa!F30*92</f>
        <v>92</v>
      </c>
      <c r="Z23" s="168">
        <f ca="1">IF(AA23&gt;0,'PC-NICSACO.COM'!E25,0)</f>
        <v>3300000</v>
      </c>
      <c r="AA23" s="167">
        <f ca="1">Performa!E34</f>
        <v>176</v>
      </c>
      <c r="AB23" s="167">
        <f>Performa!F34</f>
        <v>1</v>
      </c>
      <c r="AC23" s="170"/>
    </row>
    <row r="24" spans="4:29" ht="15" x14ac:dyDescent="0.25">
      <c r="E24" s="167">
        <f ca="1">($D19*E19+$D20*E20+$D21*E21+$D22*E22+$D23*E23)*$G$3</f>
        <v>160</v>
      </c>
      <c r="F24" s="167">
        <f ca="1">($D19*F19+$D20*F20+$D21*F21+$D22*F22+$D23*F23)*$G$3</f>
        <v>105</v>
      </c>
      <c r="G24" s="167">
        <f ca="1">($D19*G19+$D20*G20+$D21*G21+$D22*G22+$D23*G23)*$G$3</f>
        <v>0</v>
      </c>
      <c r="H24" s="167">
        <f ca="1">($D19*H19+$D20*H20+$D21*H21+$D22*H22+$D23*H23)*$G$3</f>
        <v>0</v>
      </c>
      <c r="O24" s="167">
        <f ca="1">(O21*8+O22*4+O23*2)*G3</f>
        <v>18</v>
      </c>
      <c r="P24" s="167">
        <f>Performa!F34</f>
        <v>1</v>
      </c>
      <c r="Q24" s="167">
        <f ca="1">(M34+L34)*$R$42</f>
        <v>176</v>
      </c>
      <c r="T24" s="167">
        <f ca="1">Performa!F34*Performa!E34*U24</f>
        <v>1478.4</v>
      </c>
      <c r="U24" s="173">
        <f>0.6*14</f>
        <v>8.4</v>
      </c>
      <c r="Z24" s="168">
        <f ca="1">IF(AA24&gt;0,'PC-NICSACO.COM'!E26,0)</f>
        <v>0</v>
      </c>
      <c r="AA24" s="167">
        <f ca="1">Performa!E35</f>
        <v>0</v>
      </c>
      <c r="AB24" s="167">
        <f>Performa!F35</f>
        <v>1</v>
      </c>
      <c r="AC24" s="170"/>
    </row>
    <row r="25" spans="4:29" ht="15" x14ac:dyDescent="0.25">
      <c r="D25" s="167">
        <f>'Input Data'!P26</f>
        <v>3</v>
      </c>
      <c r="E25" s="167">
        <f>'Input Data'!Q26</f>
        <v>2</v>
      </c>
      <c r="F25" s="167">
        <f>'Input Data'!R26</f>
        <v>0</v>
      </c>
      <c r="G25" s="167">
        <f>'Input Data'!S26</f>
        <v>2</v>
      </c>
      <c r="H25" s="167">
        <f>'Input Data'!T26</f>
        <v>5</v>
      </c>
      <c r="P25" s="167">
        <f>Performa!F35</f>
        <v>1</v>
      </c>
      <c r="Q25" s="167">
        <f ca="1">(N34+O34)*$R$42</f>
        <v>0</v>
      </c>
      <c r="T25" s="167">
        <f ca="1">Performa!F35*Performa!E35*U25</f>
        <v>0</v>
      </c>
      <c r="U25" s="173">
        <f>3*16</f>
        <v>48</v>
      </c>
      <c r="Z25" s="168">
        <f ca="1">IF(AA25&gt;0,1950000,0)</f>
        <v>1950000</v>
      </c>
      <c r="AA25" s="167">
        <f ca="1">Performa!E36</f>
        <v>2</v>
      </c>
      <c r="AB25" s="167">
        <f>Performa!F36</f>
        <v>1</v>
      </c>
      <c r="AC25" s="170"/>
    </row>
    <row r="26" spans="4:29" ht="15" x14ac:dyDescent="0.25">
      <c r="D26" s="167">
        <f>'Input Data'!P27</f>
        <v>0</v>
      </c>
      <c r="E26" s="167">
        <f>'Input Data'!Q27</f>
        <v>0</v>
      </c>
      <c r="F26" s="167">
        <f>'Input Data'!R27</f>
        <v>0</v>
      </c>
      <c r="G26" s="167">
        <f>'Input Data'!S27</f>
        <v>0</v>
      </c>
      <c r="H26" s="167">
        <f>'Input Data'!T27</f>
        <v>0</v>
      </c>
      <c r="O26" s="167">
        <f ca="1">O10+O14+O18+O21</f>
        <v>28</v>
      </c>
      <c r="P26" s="167">
        <f>Performa!F36</f>
        <v>1</v>
      </c>
      <c r="Q26" s="167">
        <f ca="1">2*$R$42</f>
        <v>2</v>
      </c>
      <c r="T26" s="167">
        <f ca="1">Performa!F36*Performa!E36*U26</f>
        <v>56</v>
      </c>
      <c r="U26" s="173">
        <f>2*14</f>
        <v>28</v>
      </c>
      <c r="Z26" s="168">
        <f ca="1">IF(AA26&gt;0,1950000,0)</f>
        <v>1950000</v>
      </c>
      <c r="AA26" s="167">
        <f ca="1">Performa!E37</f>
        <v>6</v>
      </c>
      <c r="AB26" s="167">
        <f>Performa!F37</f>
        <v>1</v>
      </c>
      <c r="AC26" s="170"/>
    </row>
    <row r="27" spans="4:29" ht="15" x14ac:dyDescent="0.25">
      <c r="D27" s="167">
        <f>'Input Data'!P28</f>
        <v>0</v>
      </c>
      <c r="E27" s="167">
        <f>'Input Data'!Q28</f>
        <v>0</v>
      </c>
      <c r="F27" s="167">
        <f>'Input Data'!R28</f>
        <v>0</v>
      </c>
      <c r="G27" s="167">
        <f>'Input Data'!S28</f>
        <v>0</v>
      </c>
      <c r="H27" s="167">
        <f>'Input Data'!T28</f>
        <v>0</v>
      </c>
      <c r="O27" s="167">
        <f ca="1">O11+O12+O15+O16+O19+O22+O23</f>
        <v>3</v>
      </c>
      <c r="P27" s="167">
        <f>Performa!F37</f>
        <v>1</v>
      </c>
      <c r="Q27" s="167">
        <f ca="1">6*$R$42</f>
        <v>6</v>
      </c>
      <c r="T27" s="167">
        <f ca="1">Performa!F37*Performa!E37*U27</f>
        <v>168</v>
      </c>
      <c r="U27" s="173">
        <f>2*14</f>
        <v>28</v>
      </c>
      <c r="Z27" s="168">
        <f ca="1">IF(AA27&gt;0,1950000,0)</f>
        <v>1950000</v>
      </c>
      <c r="AA27" s="167">
        <f ca="1">Performa!E38</f>
        <v>31</v>
      </c>
      <c r="AB27" s="167">
        <f>Performa!F38</f>
        <v>1</v>
      </c>
      <c r="AC27" s="170"/>
    </row>
    <row r="28" spans="4:29" ht="15" x14ac:dyDescent="0.25">
      <c r="D28" s="167">
        <f>'Input Data'!P29</f>
        <v>0</v>
      </c>
      <c r="E28" s="167">
        <f>'Input Data'!Q29</f>
        <v>0</v>
      </c>
      <c r="F28" s="167">
        <f>'Input Data'!R29</f>
        <v>0</v>
      </c>
      <c r="G28" s="167">
        <f>'Input Data'!S29</f>
        <v>0</v>
      </c>
      <c r="H28" s="167">
        <f>'Input Data'!T29</f>
        <v>0</v>
      </c>
      <c r="O28" s="167">
        <f ca="1">SUM(O26:O27)</f>
        <v>31</v>
      </c>
      <c r="P28" s="167">
        <f>Performa!F38</f>
        <v>1</v>
      </c>
      <c r="Q28" s="167">
        <f ca="1">O28*$R$42</f>
        <v>31</v>
      </c>
      <c r="T28" s="167">
        <f ca="1">Performa!F38*Performa!E38*U28</f>
        <v>868</v>
      </c>
      <c r="U28" s="173">
        <f>2*14</f>
        <v>28</v>
      </c>
      <c r="Z28" s="168">
        <f ca="1">IF(AA28&gt;0,1500000,0)</f>
        <v>1500000</v>
      </c>
      <c r="AA28" s="167">
        <f ca="1">Performa!E39</f>
        <v>1</v>
      </c>
      <c r="AB28" s="167">
        <f>Performa!F39</f>
        <v>1</v>
      </c>
      <c r="AC28" s="170"/>
    </row>
    <row r="29" spans="4:29" ht="15" x14ac:dyDescent="0.25">
      <c r="D29" s="167">
        <f>'Input Data'!P30</f>
        <v>0</v>
      </c>
      <c r="E29" s="167">
        <f>'Input Data'!Q30</f>
        <v>0</v>
      </c>
      <c r="F29" s="167">
        <f>'Input Data'!R30</f>
        <v>0</v>
      </c>
      <c r="G29" s="167">
        <f>'Input Data'!S30</f>
        <v>0</v>
      </c>
      <c r="H29" s="167">
        <f>'Input Data'!T30</f>
        <v>0</v>
      </c>
      <c r="P29" s="167">
        <f>Performa!F39</f>
        <v>1</v>
      </c>
      <c r="Q29" s="167">
        <f ca="1">1*$R$42</f>
        <v>1</v>
      </c>
      <c r="T29" s="167">
        <f ca="1">Performa!F39*Performa!E39*U29</f>
        <v>84</v>
      </c>
      <c r="U29" s="173">
        <f>6*14</f>
        <v>84</v>
      </c>
      <c r="Z29" s="168">
        <f ca="1">IF(AA29&gt;0,3500000,0)</f>
        <v>3500000</v>
      </c>
      <c r="AA29" s="167">
        <f ca="1">Performa!E40</f>
        <v>3</v>
      </c>
      <c r="AB29" s="167">
        <f>Performa!F40</f>
        <v>1</v>
      </c>
      <c r="AC29" s="170"/>
    </row>
    <row r="30" spans="4:29" ht="15" x14ac:dyDescent="0.25">
      <c r="E30" s="167">
        <f ca="1">($D25*E25+$D26*E26+$D27*E27+$D28*E28+$D29*E29)*$G$3</f>
        <v>6</v>
      </c>
      <c r="F30" s="167">
        <f ca="1">($D25*F25+$D26*F26+$D27*F27+$D28*F28+$D29*F29)*$G$3</f>
        <v>0</v>
      </c>
      <c r="G30" s="167">
        <f t="shared" ref="G30" ca="1" si="6">($D25*G25+$D26*G26+$D27*G27+$D28*G28+$D29*G29)*$G$3</f>
        <v>6</v>
      </c>
      <c r="H30" s="167">
        <f t="shared" ref="H30" ca="1" si="7">($D25*H25+$D26*H26+$D27*H27+$D28*H28+$D29*H29)*$G$3</f>
        <v>15</v>
      </c>
      <c r="P30" s="167">
        <f>Performa!F40</f>
        <v>1</v>
      </c>
      <c r="Q30" s="167">
        <f ca="1">Q34*$R$42</f>
        <v>3</v>
      </c>
      <c r="T30" s="167">
        <f ca="1">Performa!F42*Performa!E42*U30</f>
        <v>9424.7999999999993</v>
      </c>
      <c r="U30" s="173">
        <f>0.7*11</f>
        <v>7.6999999999999993</v>
      </c>
      <c r="Z30" s="168">
        <f ca="1">IF(AA30&gt;0,3500000,0)</f>
        <v>3500000</v>
      </c>
      <c r="AA30" s="167">
        <f ca="1">Performa!E41</f>
        <v>3</v>
      </c>
      <c r="AB30" s="167">
        <f>Performa!F41</f>
        <v>1</v>
      </c>
      <c r="AC30" s="170"/>
    </row>
    <row r="31" spans="4:29" ht="15" x14ac:dyDescent="0.25">
      <c r="D31" s="167">
        <f>SUM(D7:D29)</f>
        <v>173</v>
      </c>
      <c r="E31" s="167">
        <f ca="1">E12+E18+E24+E30</f>
        <v>303</v>
      </c>
      <c r="F31" s="167">
        <f t="shared" ref="F31:H31" ca="1" si="8">F12+F18+F24+F30</f>
        <v>145</v>
      </c>
      <c r="G31" s="167">
        <f t="shared" ca="1" si="8"/>
        <v>66</v>
      </c>
      <c r="H31" s="167">
        <f t="shared" ca="1" si="8"/>
        <v>15</v>
      </c>
      <c r="P31" s="167">
        <f>Performa!F41</f>
        <v>1</v>
      </c>
      <c r="Q31" s="167">
        <f ca="1">Q34*$R$42</f>
        <v>3</v>
      </c>
      <c r="T31" s="167">
        <f ca="1">Performa!F43*Performa!E43*U31</f>
        <v>871.2</v>
      </c>
      <c r="U31" s="173">
        <f>0.9*11</f>
        <v>9.9</v>
      </c>
      <c r="Z31" s="168">
        <f ca="1">IF(AA31&gt;0,43500,0)</f>
        <v>43500</v>
      </c>
      <c r="AA31" s="167">
        <f ca="1">Performa!E42</f>
        <v>1224</v>
      </c>
      <c r="AB31" s="167">
        <f>Performa!F42</f>
        <v>1</v>
      </c>
      <c r="AC31" s="170"/>
    </row>
    <row r="32" spans="4:29" ht="14.25" x14ac:dyDescent="0.2">
      <c r="J32" s="174"/>
      <c r="K32" s="175"/>
      <c r="L32" s="176" t="s">
        <v>2</v>
      </c>
      <c r="M32" s="176" t="s">
        <v>3</v>
      </c>
      <c r="N32" s="176" t="s">
        <v>4</v>
      </c>
      <c r="O32" s="176" t="s">
        <v>5</v>
      </c>
      <c r="P32" s="167">
        <f>Performa!F42</f>
        <v>1</v>
      </c>
      <c r="Q32" s="167">
        <f ca="1">(14+O26*44+O27*22-Q33)*$R$42</f>
        <v>1224</v>
      </c>
      <c r="Z32" s="168">
        <f ca="1">IF(AA32&gt;0,75000,0)</f>
        <v>75000</v>
      </c>
      <c r="AA32" s="167">
        <f ca="1">Performa!E43</f>
        <v>88</v>
      </c>
      <c r="AB32" s="167">
        <f>Performa!F43</f>
        <v>1</v>
      </c>
      <c r="AC32" s="170"/>
    </row>
    <row r="33" spans="1:29" ht="14.25" x14ac:dyDescent="0.2">
      <c r="D33" s="167">
        <f>'Input Data'!F33</f>
        <v>20</v>
      </c>
      <c r="E33" s="167">
        <v>20</v>
      </c>
      <c r="J33" s="174"/>
      <c r="K33" s="175"/>
      <c r="L33" s="177">
        <v>0</v>
      </c>
      <c r="M33" s="177">
        <v>100</v>
      </c>
      <c r="N33" s="177">
        <v>0</v>
      </c>
      <c r="O33" s="177">
        <v>0</v>
      </c>
      <c r="P33" s="167">
        <f>Performa!F43</f>
        <v>1</v>
      </c>
      <c r="Q33" s="167">
        <f ca="1">('Input Data'!AK25*8+'Input Data'!AK26*2+'Input Data'!AK28*8+'Input Data'!AK29*4+'Input Data'!AK30*2)*$R$42</f>
        <v>88</v>
      </c>
      <c r="Z33" s="168">
        <f ca="1">IF(AA33&gt;0,VLOOKUP(R34,U11:V15,2,FALSE),0)</f>
        <v>180000000</v>
      </c>
      <c r="AA33" s="167">
        <f ca="1">Performa!E44</f>
        <v>3</v>
      </c>
      <c r="AB33" s="167">
        <f>Performa!F44</f>
        <v>1</v>
      </c>
      <c r="AC33" s="170"/>
    </row>
    <row r="34" spans="1:29" ht="14.25" x14ac:dyDescent="0.2">
      <c r="J34" s="174"/>
      <c r="K34" s="175"/>
      <c r="L34" s="177" t="str">
        <f ca="1">FIXED('Input Data'!AH37*'Input Data'!AH34/100+0.49,0)</f>
        <v>0</v>
      </c>
      <c r="M34" s="177" t="str">
        <f ca="1">FIXED('Input Data'!AI37*'Input Data'!AI34/100+0.49,0)</f>
        <v>176</v>
      </c>
      <c r="N34" s="177" t="str">
        <f ca="1">FIXED('Input Data'!AJ38*'Input Data'!AJ34/100+0.49,0)</f>
        <v>0</v>
      </c>
      <c r="O34" s="177" t="str">
        <f ca="1">FIXED('Input Data'!AK38*'Input Data'!AK34/100+0.49,0)</f>
        <v>0</v>
      </c>
      <c r="P34" s="167">
        <f>Performa!F44</f>
        <v>1</v>
      </c>
      <c r="Q34" s="167">
        <f ca="1">L46*$R$42</f>
        <v>3</v>
      </c>
      <c r="R34" s="167" t="str">
        <f ca="1">K46</f>
        <v>80x200Cm2</v>
      </c>
      <c r="Z34" s="168">
        <f>IF(AA34&gt;0,93000000,0)</f>
        <v>93000000</v>
      </c>
      <c r="AA34" s="167">
        <f>Performa!E45</f>
        <v>1</v>
      </c>
      <c r="AB34" s="167">
        <f>Performa!F45</f>
        <v>1</v>
      </c>
      <c r="AC34" s="170"/>
    </row>
    <row r="35" spans="1:29" ht="12.75" x14ac:dyDescent="0.25">
      <c r="E35" s="167" t="s">
        <v>15</v>
      </c>
      <c r="F35" s="167" t="s">
        <v>16</v>
      </c>
      <c r="G35" s="167" t="s">
        <v>17</v>
      </c>
      <c r="H35" s="167" t="s">
        <v>18</v>
      </c>
      <c r="P35" s="167">
        <f>Performa!F45</f>
        <v>1</v>
      </c>
      <c r="Q35" s="167">
        <f>'Input Data'!AS34</f>
        <v>1</v>
      </c>
      <c r="T35" s="167" t="s">
        <v>96</v>
      </c>
      <c r="U35" s="167" t="s">
        <v>96</v>
      </c>
      <c r="Z35" s="168">
        <f>IF(AA35&gt;0,103000000,0)</f>
        <v>103000000</v>
      </c>
      <c r="AA35" s="167">
        <f>Performa!E46</f>
        <v>1</v>
      </c>
      <c r="AB35" s="167">
        <f>Performa!F46</f>
        <v>1</v>
      </c>
      <c r="AC35" s="170"/>
    </row>
    <row r="36" spans="1:29" ht="15" x14ac:dyDescent="0.25">
      <c r="N36" s="167" t="s">
        <v>74</v>
      </c>
      <c r="P36" s="167">
        <f>Performa!F46</f>
        <v>1</v>
      </c>
      <c r="Q36" s="167">
        <f>Q35</f>
        <v>1</v>
      </c>
      <c r="T36" s="167" t="s">
        <v>95</v>
      </c>
      <c r="U36" s="167" t="s">
        <v>95</v>
      </c>
      <c r="AA36" s="167" t="e">
        <f>Performa!#REF!</f>
        <v>#REF!</v>
      </c>
      <c r="AB36" s="167" t="e">
        <f>Performa!#REF!</f>
        <v>#REF!</v>
      </c>
      <c r="AC36" s="178"/>
    </row>
    <row r="37" spans="1:29" ht="15" x14ac:dyDescent="0.25">
      <c r="E37" s="167">
        <f ca="1">E31</f>
        <v>303</v>
      </c>
      <c r="F37" s="167">
        <f ca="1">F31</f>
        <v>145</v>
      </c>
      <c r="G37" s="167">
        <f ca="1">G31</f>
        <v>66</v>
      </c>
      <c r="H37" s="167">
        <f ca="1">H31</f>
        <v>15</v>
      </c>
      <c r="M37" s="167" t="s">
        <v>73</v>
      </c>
      <c r="N37" s="167">
        <v>0</v>
      </c>
      <c r="P37" s="167" t="e">
        <f>Performa!#REF!</f>
        <v>#REF!</v>
      </c>
      <c r="T37" s="167" t="s">
        <v>153</v>
      </c>
      <c r="U37" s="167" t="s">
        <v>149</v>
      </c>
      <c r="AA37" s="167">
        <f>Performa!E47</f>
        <v>0</v>
      </c>
      <c r="AB37" s="167">
        <f>Performa!F47</f>
        <v>1</v>
      </c>
      <c r="AC37" s="178"/>
    </row>
    <row r="38" spans="1:29" ht="12.75" x14ac:dyDescent="0.25">
      <c r="E38" s="167" t="str">
        <f ca="1">FIXED(E37*$D$33/100,0)</f>
        <v>61</v>
      </c>
      <c r="F38" s="167" t="str">
        <f ca="1">FIXED(F37*$D$33/100,0)</f>
        <v>29</v>
      </c>
      <c r="G38" s="167" t="str">
        <f ca="1">FIXED(G37*$D$33/100,0)</f>
        <v>13</v>
      </c>
      <c r="H38" s="167" t="str">
        <f ca="1">FIXED(H37*$D$33/100,0)</f>
        <v>3</v>
      </c>
      <c r="M38" s="167" t="s">
        <v>78</v>
      </c>
      <c r="N38" s="167">
        <v>7</v>
      </c>
      <c r="P38" s="167">
        <f>Performa!F47</f>
        <v>1</v>
      </c>
      <c r="R38" s="167" t="s">
        <v>84</v>
      </c>
      <c r="S38" s="167">
        <v>1</v>
      </c>
      <c r="T38" s="167" t="s">
        <v>154</v>
      </c>
      <c r="U38" s="167" t="s">
        <v>94</v>
      </c>
    </row>
    <row r="39" spans="1:29" ht="12.75" x14ac:dyDescent="0.25">
      <c r="E39" s="167">
        <f ca="1">E38+E37</f>
        <v>364</v>
      </c>
      <c r="F39" s="167">
        <f t="shared" ref="F39:H39" ca="1" si="9">F38+F37</f>
        <v>174</v>
      </c>
      <c r="G39" s="167">
        <f t="shared" ca="1" si="9"/>
        <v>79</v>
      </c>
      <c r="H39" s="167">
        <f t="shared" ca="1" si="9"/>
        <v>18</v>
      </c>
      <c r="K39" s="167" t="s">
        <v>130</v>
      </c>
      <c r="L39" s="167">
        <v>0</v>
      </c>
      <c r="M39" s="167" t="s">
        <v>152</v>
      </c>
      <c r="N39" s="167">
        <v>10</v>
      </c>
      <c r="R39" s="167" t="s">
        <v>85</v>
      </c>
      <c r="S39" s="167">
        <v>0</v>
      </c>
      <c r="T39" s="167" t="s">
        <v>155</v>
      </c>
      <c r="U39" s="167" t="s">
        <v>150</v>
      </c>
    </row>
    <row r="40" spans="1:29" ht="12.75" x14ac:dyDescent="0.25">
      <c r="K40" s="167" t="s">
        <v>133</v>
      </c>
      <c r="L40" s="167">
        <f>0.6*0.8*0.4</f>
        <v>0.192</v>
      </c>
      <c r="M40" s="167" t="s">
        <v>79</v>
      </c>
      <c r="N40" s="167">
        <v>12</v>
      </c>
      <c r="T40" s="167" t="s">
        <v>156</v>
      </c>
      <c r="U40" s="167" t="s">
        <v>151</v>
      </c>
    </row>
    <row r="41" spans="1:29" ht="12.75" x14ac:dyDescent="0.25">
      <c r="E41" s="167">
        <f ca="1">'Input Data'!AH13*G3</f>
        <v>364</v>
      </c>
      <c r="F41" s="167">
        <f ca="1">'Input Data'!AI13*G3</f>
        <v>174</v>
      </c>
      <c r="G41" s="167">
        <f ca="1">'Input Data'!AJ13*G3</f>
        <v>79</v>
      </c>
      <c r="H41" s="167">
        <f ca="1">'Input Data'!AK13*G3</f>
        <v>18</v>
      </c>
      <c r="K41" s="167" t="s">
        <v>132</v>
      </c>
      <c r="L41" s="167">
        <f>0.7*1.1*0.4</f>
        <v>0.30800000000000005</v>
      </c>
      <c r="N41" s="167">
        <v>14</v>
      </c>
      <c r="R41" s="167">
        <f>LOOKUP('Input Data'!AS38,NICSACO.COM!R38:R39,NICSACO.COM!S38:S39)</f>
        <v>1</v>
      </c>
      <c r="S41" s="167" t="str">
        <f>'Input Data'!AS38</f>
        <v>بله</v>
      </c>
      <c r="T41" s="167" t="s">
        <v>89</v>
      </c>
      <c r="U41" s="167" t="s">
        <v>100</v>
      </c>
    </row>
    <row r="42" spans="1:29" ht="12.75" x14ac:dyDescent="0.25">
      <c r="E42" s="167">
        <f ca="1">E41/8</f>
        <v>45.5</v>
      </c>
      <c r="F42" s="167">
        <f ca="1">F41/8</f>
        <v>21.75</v>
      </c>
      <c r="G42" s="167">
        <f ca="1">G41/2</f>
        <v>39.5</v>
      </c>
      <c r="H42" s="167">
        <f ca="1">H41/2</f>
        <v>9</v>
      </c>
      <c r="K42" s="167" t="s">
        <v>131</v>
      </c>
      <c r="L42" s="167">
        <f>0.8*1.1*0.4</f>
        <v>0.35200000000000009</v>
      </c>
      <c r="N42" s="167">
        <v>16</v>
      </c>
      <c r="R42" s="167">
        <f ca="1">R41*G3</f>
        <v>1</v>
      </c>
    </row>
    <row r="43" spans="1:29" ht="12.75" x14ac:dyDescent="0.25">
      <c r="B43" s="167"/>
      <c r="E43" s="167">
        <f ca="1">INT(E42+0.5)</f>
        <v>46</v>
      </c>
      <c r="F43" s="167">
        <f ca="1">INT(F42+0.5)</f>
        <v>22</v>
      </c>
      <c r="G43" s="167">
        <f ca="1">INT(G42+0.5)</f>
        <v>40</v>
      </c>
      <c r="H43" s="167">
        <f ca="1">INT(H42+0.5)</f>
        <v>9</v>
      </c>
      <c r="K43" s="167" t="s">
        <v>134</v>
      </c>
      <c r="L43" s="167">
        <f>1*1.4*0.4</f>
        <v>0.55999999999999994</v>
      </c>
      <c r="N43" s="167">
        <v>18</v>
      </c>
    </row>
    <row r="44" spans="1:29" ht="12.75" x14ac:dyDescent="0.25">
      <c r="A44" s="167">
        <f>'Input Data'!AH17</f>
        <v>32</v>
      </c>
      <c r="B44" s="167">
        <f>'Input Data'!AH21</f>
        <v>32</v>
      </c>
      <c r="C44" s="166">
        <f>'Input Data'!AH25</f>
        <v>8</v>
      </c>
      <c r="D44" s="167">
        <f>'Input Data'!AH29</f>
        <v>8</v>
      </c>
      <c r="E44" s="167">
        <f ca="1">IF(AND(A45=0,A46=0),IF(MOD(E41,A44)=0,INT(E41/A44),INT(E41/A44)+1),INT(E41/A44+0.4))</f>
        <v>11</v>
      </c>
      <c r="F44" s="167">
        <f ca="1">IF(AND(B45=0,B46=0),IF(MOD(F41,B44)=0,INT(F41/B44),INT(F41/B44)+1),INT(F41/B44+0.4))</f>
        <v>5</v>
      </c>
      <c r="G44" s="167">
        <f t="shared" ref="G44:H44" ca="1" si="10">IF(AND(C45=0,C46=0),IF(MOD(G41,C44)=0,INT(G41/C44),INT(G41/C44)+1),INT(G41/C44+0.4))</f>
        <v>10</v>
      </c>
      <c r="H44" s="167">
        <f t="shared" ca="1" si="10"/>
        <v>2</v>
      </c>
    </row>
    <row r="45" spans="1:29" ht="12.75" x14ac:dyDescent="0.25">
      <c r="A45" s="167">
        <f>'Input Data'!AH18</f>
        <v>16</v>
      </c>
      <c r="B45" s="167">
        <f>'Input Data'!AH22</f>
        <v>16</v>
      </c>
      <c r="C45" s="166">
        <f>'Input Data'!AH26</f>
        <v>2</v>
      </c>
      <c r="D45" s="167">
        <f>'Input Data'!AH30</f>
        <v>4</v>
      </c>
      <c r="E45" s="167">
        <f ca="1">IF((E41-E44*A44)&gt;0,IF(A46=0,IF(MOD((E41-E44*A44),A45)=0,INT((E41-E44*A44)/A45),INT((E41-E44*A44)/A45)+1),INT((E41-E44*A44)/A45+0.4)),0)</f>
        <v>1</v>
      </c>
      <c r="F45" s="167">
        <f ca="1">IF((F41-F44*B44)&gt;0,IF(B46=0,IF(MOD((F41-F44*B44),B45)=0,INT((F41-F44*B44)/B45),INT((F41-F44*B44)/B45)+1),INT((F41-F44*B44)/B45+0.4)),0)</f>
        <v>1</v>
      </c>
      <c r="G45" s="167">
        <f t="shared" ref="G45:H45" ca="1" si="11">IF((G41-G44*C44)&gt;0,IF(C46=0,IF(MOD((G41-G44*C44),C45)=0,INT((G41-G44*C44)/C45),INT((G41-G44*C44)/C45)+1),INT((G41-G44*C44)/C45+0.4)),0)</f>
        <v>0</v>
      </c>
      <c r="H45" s="167">
        <f t="shared" ca="1" si="11"/>
        <v>0</v>
      </c>
      <c r="L45" s="167">
        <f ca="1">SUM(T10:T31)/10000</f>
        <v>1.6538399999999998</v>
      </c>
      <c r="N45" s="167">
        <v>2</v>
      </c>
      <c r="O45" s="167" t="s">
        <v>118</v>
      </c>
    </row>
    <row r="46" spans="1:29" ht="12.75" x14ac:dyDescent="0.25">
      <c r="A46" s="167">
        <f>'Input Data'!AH19</f>
        <v>8</v>
      </c>
      <c r="B46" s="167">
        <f>'Input Data'!AH23</f>
        <v>8</v>
      </c>
      <c r="C46" s="166">
        <f>'Input Data'!AH27</f>
        <v>0</v>
      </c>
      <c r="D46" s="167">
        <f>'Input Data'!AH31</f>
        <v>2</v>
      </c>
      <c r="E46" s="167">
        <f ca="1">IF((E41-E44*A44-E45*A45)&gt;0,IF(MOD((E41-E44*A44-E45*A45),A46)=0,INT((E41-E44*A44-E45*A45)/A46),INT((E41-E44*A44-E45*A45)/A46)+1),0)</f>
        <v>0</v>
      </c>
      <c r="F46" s="167">
        <f ca="1">IF((F41-F44*B44-F45*B45)&gt;0,IF(MOD((F41-F44*B44-F45*B45),B46)=0,INT((F41-F44*B44-F45*B45)/B46),INT((F41-F44*B44-F45*B45)/B46)+1),0)</f>
        <v>0</v>
      </c>
      <c r="G46" s="167">
        <f t="shared" ref="G46:H46" ca="1" si="12">IF((G41-G44*C44-G45*C45)&gt;0,IF(MOD((G41-G44*C44-G45*C45),C46)=0,INT((G41-G44*C44-G45*C45)/C46),INT((G41-G44*C44-G45*C45)/C46)+1),0)</f>
        <v>0</v>
      </c>
      <c r="H46" s="167">
        <f t="shared" ca="1" si="12"/>
        <v>1</v>
      </c>
      <c r="K46" s="167" t="str">
        <f ca="1">IF(L46&gt;1,NICSACO.COM!K43,LOOKUP(L45,L39:L43,K39:K43))</f>
        <v>80x200Cm2</v>
      </c>
      <c r="L46" s="167" t="str">
        <f ca="1">IF(L45&lt;0.56,1,FIXED(L45/0.576+0.49,0))</f>
        <v>3</v>
      </c>
      <c r="N46" s="167">
        <v>5</v>
      </c>
      <c r="O46" s="167" t="s">
        <v>119</v>
      </c>
    </row>
    <row r="47" spans="1:29" ht="12.75" x14ac:dyDescent="0.25">
      <c r="E47" s="167">
        <f ca="1">E44*32+E45*16+E46*8</f>
        <v>368</v>
      </c>
      <c r="F47" s="167">
        <f ca="1">F44*32+F45*16+F46*8</f>
        <v>176</v>
      </c>
      <c r="G47" s="167">
        <f ca="1">G44*8+G45*4+G46*2</f>
        <v>80</v>
      </c>
      <c r="H47" s="167">
        <f ca="1">H44*8+H45*4+H46*2</f>
        <v>18</v>
      </c>
    </row>
  </sheetData>
  <sheetProtection algorithmName="SHA-512" hashValue="Ih3be0XhzE47uKZC2opW6Lcz4nez1GoyGBP7tRmr4FgU4DkcXFk3BUWeQWbCXRfbJdODVCMVbSPYtvp/pSt6Cw==" saltValue="knmPuPaHmGYHVcUsVXM3oA==" spinCount="100000" sheet="1" objects="1" scenarios="1" selectLockedCells="1" selectUnlockedCells="1"/>
  <pageMargins left="0.7" right="0.7" top="0.75" bottom="0.75" header="0.3" footer="0.3"/>
  <pageSetup paperSize="9" orientation="portrait" copies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9"/>
  <sheetViews>
    <sheetView workbookViewId="0">
      <selection sqref="A1:XFD1048576"/>
    </sheetView>
  </sheetViews>
  <sheetFormatPr defaultRowHeight="12.75" x14ac:dyDescent="0.25"/>
  <cols>
    <col min="1" max="1" width="8.140625" style="163" bestFit="1" customWidth="1"/>
    <col min="2" max="2" width="21.5703125" style="163" bestFit="1" customWidth="1"/>
    <col min="3" max="3" width="9.140625" style="163"/>
    <col min="4" max="4" width="12.28515625" style="164" bestFit="1" customWidth="1"/>
    <col min="5" max="5" width="12.7109375" style="163" bestFit="1" customWidth="1"/>
    <col min="6" max="16384" width="9.140625" style="163"/>
  </cols>
  <sheetData>
    <row r="1" spans="2:5" x14ac:dyDescent="0.25">
      <c r="B1" s="164">
        <v>300000</v>
      </c>
    </row>
    <row r="2" spans="2:5" x14ac:dyDescent="0.25">
      <c r="C2" s="163">
        <v>328.87</v>
      </c>
      <c r="D2" s="163">
        <v>32</v>
      </c>
      <c r="E2" s="164">
        <f>C2*$B$1</f>
        <v>98661000</v>
      </c>
    </row>
    <row r="3" spans="2:5" x14ac:dyDescent="0.25">
      <c r="C3" s="163">
        <v>163.89</v>
      </c>
      <c r="D3" s="163">
        <v>16</v>
      </c>
      <c r="E3" s="164">
        <f>C3*$B$1</f>
        <v>49166999.999999993</v>
      </c>
    </row>
    <row r="4" spans="2:5" x14ac:dyDescent="0.25">
      <c r="C4" s="163">
        <v>138</v>
      </c>
      <c r="D4" s="163">
        <v>8</v>
      </c>
      <c r="E4" s="164">
        <f>C4*$B$1</f>
        <v>41400000</v>
      </c>
    </row>
    <row r="5" spans="2:5" x14ac:dyDescent="0.25">
      <c r="D5" s="163"/>
      <c r="E5" s="164"/>
    </row>
    <row r="6" spans="2:5" x14ac:dyDescent="0.25">
      <c r="C6" s="163">
        <v>455.36</v>
      </c>
      <c r="D6" s="163">
        <v>32</v>
      </c>
      <c r="E6" s="164">
        <f>C6*$B$1</f>
        <v>136608000</v>
      </c>
    </row>
    <row r="7" spans="2:5" x14ac:dyDescent="0.25">
      <c r="C7" s="163">
        <v>226.87</v>
      </c>
      <c r="D7" s="163">
        <v>16</v>
      </c>
      <c r="E7" s="164">
        <f>C7*$B$1</f>
        <v>68061000</v>
      </c>
    </row>
    <row r="8" spans="2:5" x14ac:dyDescent="0.25">
      <c r="C8" s="163">
        <v>184</v>
      </c>
      <c r="D8" s="163">
        <v>8</v>
      </c>
      <c r="E8" s="164">
        <f>C8*$B$1</f>
        <v>55200000</v>
      </c>
    </row>
    <row r="9" spans="2:5" x14ac:dyDescent="0.25">
      <c r="D9" s="163"/>
      <c r="E9" s="164"/>
    </row>
    <row r="10" spans="2:5" x14ac:dyDescent="0.25">
      <c r="C10" s="163">
        <v>654.13</v>
      </c>
      <c r="D10" s="163">
        <v>8</v>
      </c>
      <c r="E10" s="164">
        <f>C10*$B$1</f>
        <v>196239000</v>
      </c>
    </row>
    <row r="11" spans="2:5" x14ac:dyDescent="0.25">
      <c r="C11" s="163">
        <f>C12*2.2</f>
        <v>434.30200000000002</v>
      </c>
      <c r="D11" s="163">
        <v>4</v>
      </c>
      <c r="E11" s="164">
        <f>C11*$B$1</f>
        <v>130290600</v>
      </c>
    </row>
    <row r="12" spans="2:5" x14ac:dyDescent="0.25">
      <c r="C12" s="163">
        <v>197.41</v>
      </c>
      <c r="D12" s="163">
        <v>2</v>
      </c>
      <c r="E12" s="164">
        <f>C12*$B$1</f>
        <v>59223000</v>
      </c>
    </row>
    <row r="13" spans="2:5" x14ac:dyDescent="0.25">
      <c r="D13" s="163"/>
      <c r="E13" s="164"/>
    </row>
    <row r="14" spans="2:5" x14ac:dyDescent="0.25">
      <c r="C14" s="163">
        <v>980.3</v>
      </c>
      <c r="D14" s="163">
        <v>8</v>
      </c>
      <c r="E14" s="164">
        <f>C14*$B$1</f>
        <v>294090000</v>
      </c>
    </row>
    <row r="15" spans="2:5" x14ac:dyDescent="0.25">
      <c r="C15" s="163">
        <v>524.92999999999995</v>
      </c>
      <c r="D15" s="163">
        <v>4</v>
      </c>
      <c r="E15" s="164">
        <f>C15*$B$1</f>
        <v>157478999.99999997</v>
      </c>
    </row>
    <row r="16" spans="2:5" x14ac:dyDescent="0.25">
      <c r="C16" s="163">
        <v>524.92999999999995</v>
      </c>
      <c r="D16" s="163">
        <v>2</v>
      </c>
      <c r="E16" s="164">
        <f>C16*$B$1</f>
        <v>157478999.99999997</v>
      </c>
    </row>
    <row r="17" spans="3:5" x14ac:dyDescent="0.25">
      <c r="D17" s="163"/>
      <c r="E17" s="164"/>
    </row>
    <row r="18" spans="3:5" x14ac:dyDescent="0.25">
      <c r="C18" s="163">
        <v>563</v>
      </c>
      <c r="D18" s="163" t="s">
        <v>78</v>
      </c>
      <c r="E18" s="164">
        <f>C18*$B$1</f>
        <v>168900000</v>
      </c>
    </row>
    <row r="19" spans="3:5" x14ac:dyDescent="0.25">
      <c r="C19" s="163">
        <v>987</v>
      </c>
      <c r="D19" s="163" t="s">
        <v>152</v>
      </c>
      <c r="E19" s="164">
        <f>C19*$B$1</f>
        <v>296100000</v>
      </c>
    </row>
    <row r="20" spans="3:5" x14ac:dyDescent="0.25">
      <c r="C20" s="163">
        <v>1411</v>
      </c>
      <c r="D20" s="163" t="s">
        <v>79</v>
      </c>
      <c r="E20" s="164">
        <f>C20*$B$1</f>
        <v>423300000</v>
      </c>
    </row>
    <row r="21" spans="3:5" x14ac:dyDescent="0.25">
      <c r="D21" s="163" t="s">
        <v>80</v>
      </c>
      <c r="E21" s="164"/>
    </row>
    <row r="22" spans="3:5" x14ac:dyDescent="0.25">
      <c r="D22" s="163" t="s">
        <v>81</v>
      </c>
      <c r="E22" s="164"/>
    </row>
    <row r="23" spans="3:5" x14ac:dyDescent="0.25">
      <c r="D23" s="163" t="s">
        <v>82</v>
      </c>
      <c r="E23" s="164"/>
    </row>
    <row r="24" spans="3:5" x14ac:dyDescent="0.25">
      <c r="D24" s="163"/>
      <c r="E24" s="164"/>
    </row>
    <row r="25" spans="3:5" x14ac:dyDescent="0.25">
      <c r="C25" s="163">
        <v>11</v>
      </c>
      <c r="D25" s="163"/>
      <c r="E25" s="164">
        <f>C25*$B$1</f>
        <v>3300000</v>
      </c>
    </row>
    <row r="26" spans="3:5" x14ac:dyDescent="0.25">
      <c r="C26" s="163">
        <v>220</v>
      </c>
      <c r="D26" s="163"/>
      <c r="E26" s="164">
        <f>C26*$B$1</f>
        <v>66000000</v>
      </c>
    </row>
    <row r="27" spans="3:5" x14ac:dyDescent="0.25">
      <c r="D27" s="163"/>
      <c r="E27" s="164"/>
    </row>
    <row r="28" spans="3:5" x14ac:dyDescent="0.25">
      <c r="C28" s="163">
        <v>364.6</v>
      </c>
      <c r="D28" s="163" t="s">
        <v>96</v>
      </c>
      <c r="E28" s="164">
        <f t="shared" ref="E28:E34" si="0">C28*$B$1</f>
        <v>109380000</v>
      </c>
    </row>
    <row r="29" spans="3:5" x14ac:dyDescent="0.25">
      <c r="C29" s="163">
        <v>651.27</v>
      </c>
      <c r="D29" s="163" t="s">
        <v>95</v>
      </c>
      <c r="E29" s="164">
        <f t="shared" si="0"/>
        <v>195381000</v>
      </c>
    </row>
    <row r="30" spans="3:5" x14ac:dyDescent="0.25">
      <c r="C30" s="163">
        <v>1626.74</v>
      </c>
      <c r="D30" s="163" t="s">
        <v>153</v>
      </c>
      <c r="E30" s="164">
        <f t="shared" si="0"/>
        <v>488022000</v>
      </c>
    </row>
    <row r="31" spans="3:5" x14ac:dyDescent="0.25">
      <c r="C31" s="163">
        <v>2297.2600000000002</v>
      </c>
      <c r="D31" s="163" t="s">
        <v>154</v>
      </c>
      <c r="E31" s="164">
        <f t="shared" si="0"/>
        <v>689178000.00000012</v>
      </c>
    </row>
    <row r="32" spans="3:5" x14ac:dyDescent="0.25">
      <c r="C32" s="163">
        <v>3573.83</v>
      </c>
      <c r="D32" s="163" t="s">
        <v>155</v>
      </c>
      <c r="E32" s="164">
        <f t="shared" si="0"/>
        <v>1072149000</v>
      </c>
    </row>
    <row r="33" spans="3:5" x14ac:dyDescent="0.25">
      <c r="C33" s="163">
        <v>4060.6</v>
      </c>
      <c r="D33" s="163" t="s">
        <v>156</v>
      </c>
      <c r="E33" s="164">
        <f t="shared" si="0"/>
        <v>1218180000</v>
      </c>
    </row>
    <row r="34" spans="3:5" x14ac:dyDescent="0.25">
      <c r="C34" s="163">
        <v>271</v>
      </c>
      <c r="D34" s="163" t="s">
        <v>101</v>
      </c>
      <c r="E34" s="164">
        <f t="shared" si="0"/>
        <v>81300000</v>
      </c>
    </row>
    <row r="35" spans="3:5" x14ac:dyDescent="0.25">
      <c r="D35" s="163"/>
      <c r="E35" s="164"/>
    </row>
    <row r="36" spans="3:5" x14ac:dyDescent="0.25">
      <c r="C36" s="163">
        <v>40.4</v>
      </c>
      <c r="D36" s="163">
        <v>20</v>
      </c>
      <c r="E36" s="164">
        <f t="shared" ref="E36:E48" si="1">C36*$B$1</f>
        <v>12120000</v>
      </c>
    </row>
    <row r="37" spans="3:5" x14ac:dyDescent="0.25">
      <c r="C37" s="163">
        <v>25.58</v>
      </c>
      <c r="D37" s="163">
        <v>40</v>
      </c>
      <c r="E37" s="164">
        <f t="shared" si="1"/>
        <v>7673999.9999999991</v>
      </c>
    </row>
    <row r="38" spans="3:5" x14ac:dyDescent="0.25">
      <c r="D38" s="163"/>
      <c r="E38" s="164">
        <f t="shared" si="1"/>
        <v>0</v>
      </c>
    </row>
    <row r="39" spans="3:5" x14ac:dyDescent="0.25">
      <c r="C39" s="163">
        <v>32.71</v>
      </c>
      <c r="D39" s="163">
        <v>480</v>
      </c>
      <c r="E39" s="164">
        <f t="shared" si="1"/>
        <v>9813000</v>
      </c>
    </row>
    <row r="40" spans="3:5" x14ac:dyDescent="0.25">
      <c r="C40" s="163">
        <v>43</v>
      </c>
      <c r="D40" s="163">
        <v>530</v>
      </c>
      <c r="E40" s="164">
        <f t="shared" si="1"/>
        <v>12900000</v>
      </c>
    </row>
    <row r="41" spans="3:5" x14ac:dyDescent="0.25">
      <c r="D41" s="163"/>
      <c r="E41" s="164">
        <f t="shared" si="1"/>
        <v>0</v>
      </c>
    </row>
    <row r="42" spans="3:5" x14ac:dyDescent="0.25">
      <c r="C42" s="163">
        <v>41</v>
      </c>
      <c r="D42" s="163" t="s">
        <v>157</v>
      </c>
      <c r="E42" s="164">
        <f t="shared" si="1"/>
        <v>12300000</v>
      </c>
    </row>
    <row r="43" spans="3:5" x14ac:dyDescent="0.25">
      <c r="C43" s="163">
        <v>78</v>
      </c>
      <c r="D43" s="163" t="s">
        <v>158</v>
      </c>
      <c r="E43" s="164">
        <f t="shared" si="1"/>
        <v>23400000</v>
      </c>
    </row>
    <row r="44" spans="3:5" x14ac:dyDescent="0.25">
      <c r="C44" s="163">
        <v>184</v>
      </c>
      <c r="D44" s="163" t="s">
        <v>159</v>
      </c>
      <c r="E44" s="164">
        <f t="shared" si="1"/>
        <v>55200000</v>
      </c>
    </row>
    <row r="45" spans="3:5" x14ac:dyDescent="0.25">
      <c r="C45" s="163">
        <v>263</v>
      </c>
      <c r="D45" s="163" t="s">
        <v>160</v>
      </c>
      <c r="E45" s="164">
        <f t="shared" si="1"/>
        <v>78900000</v>
      </c>
    </row>
    <row r="46" spans="3:5" x14ac:dyDescent="0.25">
      <c r="D46" s="163"/>
      <c r="E46" s="164">
        <f t="shared" si="1"/>
        <v>0</v>
      </c>
    </row>
    <row r="47" spans="3:5" x14ac:dyDescent="0.25">
      <c r="C47" s="163">
        <v>108.42</v>
      </c>
      <c r="D47" s="163" t="s">
        <v>118</v>
      </c>
      <c r="E47" s="164">
        <f t="shared" si="1"/>
        <v>32526000</v>
      </c>
    </row>
    <row r="48" spans="3:5" x14ac:dyDescent="0.25">
      <c r="C48" s="163">
        <v>143.66</v>
      </c>
      <c r="D48" s="163" t="s">
        <v>119</v>
      </c>
      <c r="E48" s="164">
        <f t="shared" si="1"/>
        <v>43098000</v>
      </c>
    </row>
    <row r="49" s="163" customFormat="1" x14ac:dyDescent="0.25"/>
  </sheetData>
  <sheetProtection algorithmName="SHA-512" hashValue="BQgQ4lfW5vyDm6PY4zgIlil3HKP0rW4eiVOORFBHU49XDgo018hfNj5PNed8RGAB9DjOYdq1ywGz3ZeulX5K+w==" saltValue="A0/Vk8E1Q9ybV15q5aatgA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9"/>
  <sheetViews>
    <sheetView view="pageBreakPreview" topLeftCell="A13" zoomScaleNormal="100" zoomScaleSheetLayoutView="100" workbookViewId="0">
      <selection activeCell="F16" sqref="F16"/>
    </sheetView>
  </sheetViews>
  <sheetFormatPr defaultRowHeight="15" x14ac:dyDescent="0.25"/>
  <cols>
    <col min="1" max="1" width="14.85546875" style="109" bestFit="1" customWidth="1"/>
    <col min="2" max="2" width="12.140625" style="109" bestFit="1" customWidth="1"/>
    <col min="3" max="3" width="18.7109375" style="109" customWidth="1"/>
    <col min="4" max="4" width="15.7109375" style="109" customWidth="1"/>
    <col min="5" max="5" width="9.140625" style="109"/>
    <col min="6" max="6" width="6" style="109" customWidth="1"/>
    <col min="7" max="7" width="26" style="109" customWidth="1"/>
    <col min="8" max="8" width="4.140625" style="113" customWidth="1"/>
    <col min="9" max="13" width="9.140625" style="109"/>
    <col min="14" max="14" width="12.140625" style="109" bestFit="1" customWidth="1"/>
    <col min="15" max="256" width="9.140625" style="109"/>
    <col min="257" max="257" width="10.140625" style="109" bestFit="1" customWidth="1"/>
    <col min="258" max="263" width="9.140625" style="109"/>
    <col min="264" max="264" width="3" style="109" customWidth="1"/>
    <col min="265" max="512" width="9.140625" style="109"/>
    <col min="513" max="513" width="10.140625" style="109" bestFit="1" customWidth="1"/>
    <col min="514" max="519" width="9.140625" style="109"/>
    <col min="520" max="520" width="3" style="109" customWidth="1"/>
    <col min="521" max="768" width="9.140625" style="109"/>
    <col min="769" max="769" width="10.140625" style="109" bestFit="1" customWidth="1"/>
    <col min="770" max="775" width="9.140625" style="109"/>
    <col min="776" max="776" width="3" style="109" customWidth="1"/>
    <col min="777" max="1024" width="9.140625" style="109"/>
    <col min="1025" max="1025" width="10.140625" style="109" bestFit="1" customWidth="1"/>
    <col min="1026" max="1031" width="9.140625" style="109"/>
    <col min="1032" max="1032" width="3" style="109" customWidth="1"/>
    <col min="1033" max="1280" width="9.140625" style="109"/>
    <col min="1281" max="1281" width="10.140625" style="109" bestFit="1" customWidth="1"/>
    <col min="1282" max="1287" width="9.140625" style="109"/>
    <col min="1288" max="1288" width="3" style="109" customWidth="1"/>
    <col min="1289" max="1536" width="9.140625" style="109"/>
    <col min="1537" max="1537" width="10.140625" style="109" bestFit="1" customWidth="1"/>
    <col min="1538" max="1543" width="9.140625" style="109"/>
    <col min="1544" max="1544" width="3" style="109" customWidth="1"/>
    <col min="1545" max="1792" width="9.140625" style="109"/>
    <col min="1793" max="1793" width="10.140625" style="109" bestFit="1" customWidth="1"/>
    <col min="1794" max="1799" width="9.140625" style="109"/>
    <col min="1800" max="1800" width="3" style="109" customWidth="1"/>
    <col min="1801" max="2048" width="9.140625" style="109"/>
    <col min="2049" max="2049" width="10.140625" style="109" bestFit="1" customWidth="1"/>
    <col min="2050" max="2055" width="9.140625" style="109"/>
    <col min="2056" max="2056" width="3" style="109" customWidth="1"/>
    <col min="2057" max="2304" width="9.140625" style="109"/>
    <col min="2305" max="2305" width="10.140625" style="109" bestFit="1" customWidth="1"/>
    <col min="2306" max="2311" width="9.140625" style="109"/>
    <col min="2312" max="2312" width="3" style="109" customWidth="1"/>
    <col min="2313" max="2560" width="9.140625" style="109"/>
    <col min="2561" max="2561" width="10.140625" style="109" bestFit="1" customWidth="1"/>
    <col min="2562" max="2567" width="9.140625" style="109"/>
    <col min="2568" max="2568" width="3" style="109" customWidth="1"/>
    <col min="2569" max="2816" width="9.140625" style="109"/>
    <col min="2817" max="2817" width="10.140625" style="109" bestFit="1" customWidth="1"/>
    <col min="2818" max="2823" width="9.140625" style="109"/>
    <col min="2824" max="2824" width="3" style="109" customWidth="1"/>
    <col min="2825" max="3072" width="9.140625" style="109"/>
    <col min="3073" max="3073" width="10.140625" style="109" bestFit="1" customWidth="1"/>
    <col min="3074" max="3079" width="9.140625" style="109"/>
    <col min="3080" max="3080" width="3" style="109" customWidth="1"/>
    <col min="3081" max="3328" width="9.140625" style="109"/>
    <col min="3329" max="3329" width="10.140625" style="109" bestFit="1" customWidth="1"/>
    <col min="3330" max="3335" width="9.140625" style="109"/>
    <col min="3336" max="3336" width="3" style="109" customWidth="1"/>
    <col min="3337" max="3584" width="9.140625" style="109"/>
    <col min="3585" max="3585" width="10.140625" style="109" bestFit="1" customWidth="1"/>
    <col min="3586" max="3591" width="9.140625" style="109"/>
    <col min="3592" max="3592" width="3" style="109" customWidth="1"/>
    <col min="3593" max="3840" width="9.140625" style="109"/>
    <col min="3841" max="3841" width="10.140625" style="109" bestFit="1" customWidth="1"/>
    <col min="3842" max="3847" width="9.140625" style="109"/>
    <col min="3848" max="3848" width="3" style="109" customWidth="1"/>
    <col min="3849" max="4096" width="9.140625" style="109"/>
    <col min="4097" max="4097" width="10.140625" style="109" bestFit="1" customWidth="1"/>
    <col min="4098" max="4103" width="9.140625" style="109"/>
    <col min="4104" max="4104" width="3" style="109" customWidth="1"/>
    <col min="4105" max="4352" width="9.140625" style="109"/>
    <col min="4353" max="4353" width="10.140625" style="109" bestFit="1" customWidth="1"/>
    <col min="4354" max="4359" width="9.140625" style="109"/>
    <col min="4360" max="4360" width="3" style="109" customWidth="1"/>
    <col min="4361" max="4608" width="9.140625" style="109"/>
    <col min="4609" max="4609" width="10.140625" style="109" bestFit="1" customWidth="1"/>
    <col min="4610" max="4615" width="9.140625" style="109"/>
    <col min="4616" max="4616" width="3" style="109" customWidth="1"/>
    <col min="4617" max="4864" width="9.140625" style="109"/>
    <col min="4865" max="4865" width="10.140625" style="109" bestFit="1" customWidth="1"/>
    <col min="4866" max="4871" width="9.140625" style="109"/>
    <col min="4872" max="4872" width="3" style="109" customWidth="1"/>
    <col min="4873" max="5120" width="9.140625" style="109"/>
    <col min="5121" max="5121" width="10.140625" style="109" bestFit="1" customWidth="1"/>
    <col min="5122" max="5127" width="9.140625" style="109"/>
    <col min="5128" max="5128" width="3" style="109" customWidth="1"/>
    <col min="5129" max="5376" width="9.140625" style="109"/>
    <col min="5377" max="5377" width="10.140625" style="109" bestFit="1" customWidth="1"/>
    <col min="5378" max="5383" width="9.140625" style="109"/>
    <col min="5384" max="5384" width="3" style="109" customWidth="1"/>
    <col min="5385" max="5632" width="9.140625" style="109"/>
    <col min="5633" max="5633" width="10.140625" style="109" bestFit="1" customWidth="1"/>
    <col min="5634" max="5639" width="9.140625" style="109"/>
    <col min="5640" max="5640" width="3" style="109" customWidth="1"/>
    <col min="5641" max="5888" width="9.140625" style="109"/>
    <col min="5889" max="5889" width="10.140625" style="109" bestFit="1" customWidth="1"/>
    <col min="5890" max="5895" width="9.140625" style="109"/>
    <col min="5896" max="5896" width="3" style="109" customWidth="1"/>
    <col min="5897" max="6144" width="9.140625" style="109"/>
    <col min="6145" max="6145" width="10.140625" style="109" bestFit="1" customWidth="1"/>
    <col min="6146" max="6151" width="9.140625" style="109"/>
    <col min="6152" max="6152" width="3" style="109" customWidth="1"/>
    <col min="6153" max="6400" width="9.140625" style="109"/>
    <col min="6401" max="6401" width="10.140625" style="109" bestFit="1" customWidth="1"/>
    <col min="6402" max="6407" width="9.140625" style="109"/>
    <col min="6408" max="6408" width="3" style="109" customWidth="1"/>
    <col min="6409" max="6656" width="9.140625" style="109"/>
    <col min="6657" max="6657" width="10.140625" style="109" bestFit="1" customWidth="1"/>
    <col min="6658" max="6663" width="9.140625" style="109"/>
    <col min="6664" max="6664" width="3" style="109" customWidth="1"/>
    <col min="6665" max="6912" width="9.140625" style="109"/>
    <col min="6913" max="6913" width="10.140625" style="109" bestFit="1" customWidth="1"/>
    <col min="6914" max="6919" width="9.140625" style="109"/>
    <col min="6920" max="6920" width="3" style="109" customWidth="1"/>
    <col min="6921" max="7168" width="9.140625" style="109"/>
    <col min="7169" max="7169" width="10.140625" style="109" bestFit="1" customWidth="1"/>
    <col min="7170" max="7175" width="9.140625" style="109"/>
    <col min="7176" max="7176" width="3" style="109" customWidth="1"/>
    <col min="7177" max="7424" width="9.140625" style="109"/>
    <col min="7425" max="7425" width="10.140625" style="109" bestFit="1" customWidth="1"/>
    <col min="7426" max="7431" width="9.140625" style="109"/>
    <col min="7432" max="7432" width="3" style="109" customWidth="1"/>
    <col min="7433" max="7680" width="9.140625" style="109"/>
    <col min="7681" max="7681" width="10.140625" style="109" bestFit="1" customWidth="1"/>
    <col min="7682" max="7687" width="9.140625" style="109"/>
    <col min="7688" max="7688" width="3" style="109" customWidth="1"/>
    <col min="7689" max="7936" width="9.140625" style="109"/>
    <col min="7937" max="7937" width="10.140625" style="109" bestFit="1" customWidth="1"/>
    <col min="7938" max="7943" width="9.140625" style="109"/>
    <col min="7944" max="7944" width="3" style="109" customWidth="1"/>
    <col min="7945" max="8192" width="9.140625" style="109"/>
    <col min="8193" max="8193" width="10.140625" style="109" bestFit="1" customWidth="1"/>
    <col min="8194" max="8199" width="9.140625" style="109"/>
    <col min="8200" max="8200" width="3" style="109" customWidth="1"/>
    <col min="8201" max="8448" width="9.140625" style="109"/>
    <col min="8449" max="8449" width="10.140625" style="109" bestFit="1" customWidth="1"/>
    <col min="8450" max="8455" width="9.140625" style="109"/>
    <col min="8456" max="8456" width="3" style="109" customWidth="1"/>
    <col min="8457" max="8704" width="9.140625" style="109"/>
    <col min="8705" max="8705" width="10.140625" style="109" bestFit="1" customWidth="1"/>
    <col min="8706" max="8711" width="9.140625" style="109"/>
    <col min="8712" max="8712" width="3" style="109" customWidth="1"/>
    <col min="8713" max="8960" width="9.140625" style="109"/>
    <col min="8961" max="8961" width="10.140625" style="109" bestFit="1" customWidth="1"/>
    <col min="8962" max="8967" width="9.140625" style="109"/>
    <col min="8968" max="8968" width="3" style="109" customWidth="1"/>
    <col min="8969" max="9216" width="9.140625" style="109"/>
    <col min="9217" max="9217" width="10.140625" style="109" bestFit="1" customWidth="1"/>
    <col min="9218" max="9223" width="9.140625" style="109"/>
    <col min="9224" max="9224" width="3" style="109" customWidth="1"/>
    <col min="9225" max="9472" width="9.140625" style="109"/>
    <col min="9473" max="9473" width="10.140625" style="109" bestFit="1" customWidth="1"/>
    <col min="9474" max="9479" width="9.140625" style="109"/>
    <col min="9480" max="9480" width="3" style="109" customWidth="1"/>
    <col min="9481" max="9728" width="9.140625" style="109"/>
    <col min="9729" max="9729" width="10.140625" style="109" bestFit="1" customWidth="1"/>
    <col min="9730" max="9735" width="9.140625" style="109"/>
    <col min="9736" max="9736" width="3" style="109" customWidth="1"/>
    <col min="9737" max="9984" width="9.140625" style="109"/>
    <col min="9985" max="9985" width="10.140625" style="109" bestFit="1" customWidth="1"/>
    <col min="9986" max="9991" width="9.140625" style="109"/>
    <col min="9992" max="9992" width="3" style="109" customWidth="1"/>
    <col min="9993" max="10240" width="9.140625" style="109"/>
    <col min="10241" max="10241" width="10.140625" style="109" bestFit="1" customWidth="1"/>
    <col min="10242" max="10247" width="9.140625" style="109"/>
    <col min="10248" max="10248" width="3" style="109" customWidth="1"/>
    <col min="10249" max="10496" width="9.140625" style="109"/>
    <col min="10497" max="10497" width="10.140625" style="109" bestFit="1" customWidth="1"/>
    <col min="10498" max="10503" width="9.140625" style="109"/>
    <col min="10504" max="10504" width="3" style="109" customWidth="1"/>
    <col min="10505" max="10752" width="9.140625" style="109"/>
    <col min="10753" max="10753" width="10.140625" style="109" bestFit="1" customWidth="1"/>
    <col min="10754" max="10759" width="9.140625" style="109"/>
    <col min="10760" max="10760" width="3" style="109" customWidth="1"/>
    <col min="10761" max="11008" width="9.140625" style="109"/>
    <col min="11009" max="11009" width="10.140625" style="109" bestFit="1" customWidth="1"/>
    <col min="11010" max="11015" width="9.140625" style="109"/>
    <col min="11016" max="11016" width="3" style="109" customWidth="1"/>
    <col min="11017" max="11264" width="9.140625" style="109"/>
    <col min="11265" max="11265" width="10.140625" style="109" bestFit="1" customWidth="1"/>
    <col min="11266" max="11271" width="9.140625" style="109"/>
    <col min="11272" max="11272" width="3" style="109" customWidth="1"/>
    <col min="11273" max="11520" width="9.140625" style="109"/>
    <col min="11521" max="11521" width="10.140625" style="109" bestFit="1" customWidth="1"/>
    <col min="11522" max="11527" width="9.140625" style="109"/>
    <col min="11528" max="11528" width="3" style="109" customWidth="1"/>
    <col min="11529" max="11776" width="9.140625" style="109"/>
    <col min="11777" max="11777" width="10.140625" style="109" bestFit="1" customWidth="1"/>
    <col min="11778" max="11783" width="9.140625" style="109"/>
    <col min="11784" max="11784" width="3" style="109" customWidth="1"/>
    <col min="11785" max="12032" width="9.140625" style="109"/>
    <col min="12033" max="12033" width="10.140625" style="109" bestFit="1" customWidth="1"/>
    <col min="12034" max="12039" width="9.140625" style="109"/>
    <col min="12040" max="12040" width="3" style="109" customWidth="1"/>
    <col min="12041" max="12288" width="9.140625" style="109"/>
    <col min="12289" max="12289" width="10.140625" style="109" bestFit="1" customWidth="1"/>
    <col min="12290" max="12295" width="9.140625" style="109"/>
    <col min="12296" max="12296" width="3" style="109" customWidth="1"/>
    <col min="12297" max="12544" width="9.140625" style="109"/>
    <col min="12545" max="12545" width="10.140625" style="109" bestFit="1" customWidth="1"/>
    <col min="12546" max="12551" width="9.140625" style="109"/>
    <col min="12552" max="12552" width="3" style="109" customWidth="1"/>
    <col min="12553" max="12800" width="9.140625" style="109"/>
    <col min="12801" max="12801" width="10.140625" style="109" bestFit="1" customWidth="1"/>
    <col min="12802" max="12807" width="9.140625" style="109"/>
    <col min="12808" max="12808" width="3" style="109" customWidth="1"/>
    <col min="12809" max="13056" width="9.140625" style="109"/>
    <col min="13057" max="13057" width="10.140625" style="109" bestFit="1" customWidth="1"/>
    <col min="13058" max="13063" width="9.140625" style="109"/>
    <col min="13064" max="13064" width="3" style="109" customWidth="1"/>
    <col min="13065" max="13312" width="9.140625" style="109"/>
    <col min="13313" max="13313" width="10.140625" style="109" bestFit="1" customWidth="1"/>
    <col min="13314" max="13319" width="9.140625" style="109"/>
    <col min="13320" max="13320" width="3" style="109" customWidth="1"/>
    <col min="13321" max="13568" width="9.140625" style="109"/>
    <col min="13569" max="13569" width="10.140625" style="109" bestFit="1" customWidth="1"/>
    <col min="13570" max="13575" width="9.140625" style="109"/>
    <col min="13576" max="13576" width="3" style="109" customWidth="1"/>
    <col min="13577" max="13824" width="9.140625" style="109"/>
    <col min="13825" max="13825" width="10.140625" style="109" bestFit="1" customWidth="1"/>
    <col min="13826" max="13831" width="9.140625" style="109"/>
    <col min="13832" max="13832" width="3" style="109" customWidth="1"/>
    <col min="13833" max="14080" width="9.140625" style="109"/>
    <col min="14081" max="14081" width="10.140625" style="109" bestFit="1" customWidth="1"/>
    <col min="14082" max="14087" width="9.140625" style="109"/>
    <col min="14088" max="14088" width="3" style="109" customWidth="1"/>
    <col min="14089" max="14336" width="9.140625" style="109"/>
    <col min="14337" max="14337" width="10.140625" style="109" bestFit="1" customWidth="1"/>
    <col min="14338" max="14343" width="9.140625" style="109"/>
    <col min="14344" max="14344" width="3" style="109" customWidth="1"/>
    <col min="14345" max="14592" width="9.140625" style="109"/>
    <col min="14593" max="14593" width="10.140625" style="109" bestFit="1" customWidth="1"/>
    <col min="14594" max="14599" width="9.140625" style="109"/>
    <col min="14600" max="14600" width="3" style="109" customWidth="1"/>
    <col min="14601" max="14848" width="9.140625" style="109"/>
    <col min="14849" max="14849" width="10.140625" style="109" bestFit="1" customWidth="1"/>
    <col min="14850" max="14855" width="9.140625" style="109"/>
    <col min="14856" max="14856" width="3" style="109" customWidth="1"/>
    <col min="14857" max="15104" width="9.140625" style="109"/>
    <col min="15105" max="15105" width="10.140625" style="109" bestFit="1" customWidth="1"/>
    <col min="15106" max="15111" width="9.140625" style="109"/>
    <col min="15112" max="15112" width="3" style="109" customWidth="1"/>
    <col min="15113" max="15360" width="9.140625" style="109"/>
    <col min="15361" max="15361" width="10.140625" style="109" bestFit="1" customWidth="1"/>
    <col min="15362" max="15367" width="9.140625" style="109"/>
    <col min="15368" max="15368" width="3" style="109" customWidth="1"/>
    <col min="15369" max="15616" width="9.140625" style="109"/>
    <col min="15617" max="15617" width="10.140625" style="109" bestFit="1" customWidth="1"/>
    <col min="15618" max="15623" width="9.140625" style="109"/>
    <col min="15624" max="15624" width="3" style="109" customWidth="1"/>
    <col min="15625" max="15872" width="9.140625" style="109"/>
    <col min="15873" max="15873" width="10.140625" style="109" bestFit="1" customWidth="1"/>
    <col min="15874" max="15879" width="9.140625" style="109"/>
    <col min="15880" max="15880" width="3" style="109" customWidth="1"/>
    <col min="15881" max="16128" width="9.140625" style="109"/>
    <col min="16129" max="16129" width="10.140625" style="109" bestFit="1" customWidth="1"/>
    <col min="16130" max="16135" width="9.140625" style="109"/>
    <col min="16136" max="16136" width="3" style="109" customWidth="1"/>
    <col min="16137" max="16384" width="9.140625" style="109"/>
  </cols>
  <sheetData>
    <row r="1" spans="1:9" x14ac:dyDescent="0.25">
      <c r="A1" s="110"/>
      <c r="B1" s="110"/>
      <c r="C1" s="110"/>
      <c r="D1" s="110"/>
      <c r="E1" s="110"/>
      <c r="F1" s="110"/>
      <c r="G1" s="110"/>
      <c r="H1" s="112"/>
      <c r="I1" s="110"/>
    </row>
    <row r="2" spans="1:9" ht="22.5" x14ac:dyDescent="0.7">
      <c r="A2" s="110"/>
      <c r="B2" s="110"/>
      <c r="C2" s="110"/>
      <c r="D2" s="110"/>
      <c r="E2" s="110"/>
      <c r="F2" s="110"/>
      <c r="G2" s="188"/>
      <c r="H2" s="189" t="s">
        <v>173</v>
      </c>
      <c r="I2" s="188"/>
    </row>
    <row r="3" spans="1:9" x14ac:dyDescent="0.25">
      <c r="A3" s="110"/>
      <c r="B3" s="110"/>
      <c r="C3" s="110"/>
      <c r="D3" s="110"/>
      <c r="E3" s="110"/>
      <c r="F3" s="110"/>
      <c r="G3" s="110"/>
      <c r="H3" s="112"/>
      <c r="I3" s="110"/>
    </row>
    <row r="4" spans="1:9" x14ac:dyDescent="0.25">
      <c r="A4" s="110"/>
      <c r="B4" s="110"/>
      <c r="C4" s="110"/>
      <c r="D4" s="110"/>
      <c r="E4" s="110"/>
      <c r="F4" s="110"/>
      <c r="G4" s="110"/>
      <c r="H4" s="112"/>
      <c r="I4" s="110"/>
    </row>
    <row r="5" spans="1:9" x14ac:dyDescent="0.25">
      <c r="A5" s="110"/>
      <c r="B5" s="110"/>
      <c r="C5" s="110"/>
      <c r="D5" s="110"/>
      <c r="E5" s="110"/>
      <c r="F5" s="110"/>
      <c r="G5" s="110"/>
      <c r="H5" s="112"/>
      <c r="I5" s="110"/>
    </row>
    <row r="6" spans="1:9" ht="15" customHeight="1" x14ac:dyDescent="0.25">
      <c r="A6" s="214">
        <f ca="1">TODAY()</f>
        <v>44157</v>
      </c>
      <c r="B6" s="212" t="s">
        <v>102</v>
      </c>
      <c r="C6" s="110"/>
      <c r="D6" s="110"/>
      <c r="E6" s="110"/>
      <c r="F6" s="110"/>
      <c r="G6" s="110"/>
      <c r="H6" s="112"/>
      <c r="I6" s="110"/>
    </row>
    <row r="7" spans="1:9" ht="15" customHeight="1" x14ac:dyDescent="0.25">
      <c r="A7" s="158">
        <f ca="1">'Input Data'!AH13*1000000000+'Input Data'!AI13*1000000+'Input Data'!AJ13*1000+'Input Data'!AK13</f>
        <v>364174079018</v>
      </c>
      <c r="B7" s="212" t="s">
        <v>103</v>
      </c>
      <c r="C7" s="110"/>
      <c r="D7" s="110"/>
      <c r="E7" s="110"/>
      <c r="F7" s="110"/>
      <c r="G7" s="110"/>
      <c r="H7" s="112"/>
      <c r="I7" s="110"/>
    </row>
    <row r="8" spans="1:9" ht="20.100000000000001" customHeight="1" x14ac:dyDescent="0.3">
      <c r="A8" s="110"/>
      <c r="B8" s="110"/>
      <c r="C8" s="110"/>
      <c r="D8" s="110"/>
      <c r="E8" s="110"/>
      <c r="F8" s="110"/>
      <c r="G8" s="160"/>
      <c r="H8" s="212" t="s">
        <v>106</v>
      </c>
      <c r="I8" s="110"/>
    </row>
    <row r="9" spans="1:9" ht="20.100000000000001" customHeight="1" x14ac:dyDescent="0.25">
      <c r="A9" s="110"/>
      <c r="B9" s="110"/>
      <c r="C9" s="110"/>
      <c r="D9" s="110"/>
      <c r="E9" s="110"/>
      <c r="F9" s="110"/>
      <c r="G9" s="213" t="s">
        <v>108</v>
      </c>
      <c r="H9" s="112"/>
      <c r="I9" s="110"/>
    </row>
    <row r="10" spans="1:9" ht="20.100000000000001" customHeight="1" x14ac:dyDescent="0.25">
      <c r="A10" s="110"/>
      <c r="B10" s="110"/>
      <c r="C10" s="110"/>
      <c r="D10" s="110"/>
      <c r="E10" s="110"/>
      <c r="F10" s="110"/>
      <c r="G10" s="213" t="s">
        <v>104</v>
      </c>
      <c r="H10" s="112"/>
      <c r="I10" s="110"/>
    </row>
    <row r="11" spans="1:9" ht="20.100000000000001" customHeight="1" x14ac:dyDescent="0.25">
      <c r="A11" s="110"/>
      <c r="B11" s="110"/>
      <c r="C11" s="110"/>
      <c r="D11" s="110"/>
      <c r="E11" s="110"/>
      <c r="F11" s="110"/>
      <c r="G11" s="213" t="s">
        <v>109</v>
      </c>
      <c r="H11" s="112"/>
      <c r="I11" s="110"/>
    </row>
    <row r="12" spans="1:9" ht="20.100000000000001" customHeight="1" x14ac:dyDescent="0.25">
      <c r="A12" s="110"/>
      <c r="B12" s="110"/>
      <c r="C12" s="110"/>
      <c r="D12" s="110"/>
      <c r="E12" s="110"/>
      <c r="F12" s="110"/>
      <c r="G12" s="213" t="s">
        <v>110</v>
      </c>
      <c r="H12" s="112"/>
      <c r="I12" s="110"/>
    </row>
    <row r="13" spans="1:9" x14ac:dyDescent="0.25">
      <c r="A13" s="110"/>
      <c r="B13" s="110"/>
      <c r="C13" s="110"/>
      <c r="D13" s="110"/>
      <c r="E13" s="110"/>
      <c r="F13" s="110"/>
      <c r="G13" s="111"/>
      <c r="H13" s="112"/>
      <c r="I13" s="110"/>
    </row>
    <row r="14" spans="1:9" s="113" customFormat="1" x14ac:dyDescent="0.25">
      <c r="A14" s="112"/>
      <c r="B14" s="117" t="s">
        <v>116</v>
      </c>
      <c r="C14" s="118" t="s">
        <v>115</v>
      </c>
      <c r="D14" s="118" t="s">
        <v>114</v>
      </c>
      <c r="E14" s="118" t="s">
        <v>113</v>
      </c>
      <c r="F14" s="119" t="s">
        <v>112</v>
      </c>
      <c r="G14" s="118" t="s">
        <v>111</v>
      </c>
      <c r="H14" s="120" t="s">
        <v>105</v>
      </c>
      <c r="I14" s="112"/>
    </row>
    <row r="15" spans="1:9" x14ac:dyDescent="0.25">
      <c r="A15" s="110"/>
      <c r="B15" s="114" t="str">
        <f>NICSACO.COM!R5</f>
        <v>CPU317-NDP</v>
      </c>
      <c r="C15" s="140">
        <f t="shared" ref="C15:C46" ca="1" si="0">E15*F15*D15</f>
        <v>1218180000</v>
      </c>
      <c r="D15" s="140">
        <f ca="1">NICSACO.COM!Z3</f>
        <v>1218180000</v>
      </c>
      <c r="E15" s="131">
        <f ca="1">NICSACO.COM!Q5</f>
        <v>1</v>
      </c>
      <c r="F15" s="209">
        <v>1</v>
      </c>
      <c r="G15" s="132" t="s">
        <v>136</v>
      </c>
      <c r="H15" s="115">
        <v>1</v>
      </c>
      <c r="I15" s="110"/>
    </row>
    <row r="16" spans="1:9" x14ac:dyDescent="0.25">
      <c r="A16" s="110"/>
      <c r="B16" s="126" t="str">
        <f>NICSACO.COM!R6</f>
        <v>2MB</v>
      </c>
      <c r="C16" s="141">
        <f t="shared" ca="1" si="0"/>
        <v>78900000</v>
      </c>
      <c r="D16" s="142">
        <f ca="1">NICSACO.COM!Z4</f>
        <v>78900000</v>
      </c>
      <c r="E16" s="124">
        <f ca="1">NICSACO.COM!Q6</f>
        <v>1</v>
      </c>
      <c r="F16" s="210">
        <v>1</v>
      </c>
      <c r="G16" s="130" t="s">
        <v>120</v>
      </c>
      <c r="H16" s="121">
        <v>2</v>
      </c>
      <c r="I16" s="110"/>
    </row>
    <row r="17" spans="1:9" x14ac:dyDescent="0.25">
      <c r="A17" s="110"/>
      <c r="B17" s="126" t="str">
        <f ca="1">NICSACO.COM!R7</f>
        <v>5A</v>
      </c>
      <c r="C17" s="141">
        <f t="shared" ca="1" si="0"/>
        <v>172392000</v>
      </c>
      <c r="D17" s="142">
        <f ca="1">NICSACO.COM!Z5</f>
        <v>43098000</v>
      </c>
      <c r="E17" s="124">
        <f ca="1">NICSACO.COM!Q7</f>
        <v>4</v>
      </c>
      <c r="F17" s="210">
        <v>1</v>
      </c>
      <c r="G17" s="130" t="s">
        <v>117</v>
      </c>
      <c r="H17" s="122">
        <v>3</v>
      </c>
      <c r="I17" s="110"/>
    </row>
    <row r="18" spans="1:9" x14ac:dyDescent="0.25">
      <c r="A18" s="110"/>
      <c r="B18" s="126" t="str">
        <f>NICSACO.COM!R8</f>
        <v>12"</v>
      </c>
      <c r="C18" s="141">
        <f t="shared" ca="1" si="0"/>
        <v>423300000</v>
      </c>
      <c r="D18" s="142">
        <f ca="1">NICSACO.COM!Z6</f>
        <v>423300000</v>
      </c>
      <c r="E18" s="124">
        <f ca="1">NICSACO.COM!Q8</f>
        <v>1</v>
      </c>
      <c r="F18" s="210">
        <v>1</v>
      </c>
      <c r="G18" s="130" t="s">
        <v>91</v>
      </c>
      <c r="H18" s="121">
        <v>4</v>
      </c>
      <c r="I18" s="110"/>
    </row>
    <row r="19" spans="1:9" x14ac:dyDescent="0.25">
      <c r="A19" s="110"/>
      <c r="B19" s="126"/>
      <c r="C19" s="141">
        <f t="shared" ca="1" si="0"/>
        <v>243900000</v>
      </c>
      <c r="D19" s="142">
        <f ca="1">NICSACO.COM!Z7</f>
        <v>81300000</v>
      </c>
      <c r="E19" s="124">
        <f ca="1">NICSACO.COM!Q9</f>
        <v>3</v>
      </c>
      <c r="F19" s="210">
        <v>1</v>
      </c>
      <c r="G19" s="129" t="s">
        <v>100</v>
      </c>
      <c r="H19" s="122">
        <v>5</v>
      </c>
      <c r="I19" s="110"/>
    </row>
    <row r="20" spans="1:9" x14ac:dyDescent="0.25">
      <c r="A20" s="110"/>
      <c r="B20" s="126"/>
      <c r="C20" s="141">
        <f t="shared" ca="1" si="0"/>
        <v>1085271000</v>
      </c>
      <c r="D20" s="142">
        <f ca="1">NICSACO.COM!Z8</f>
        <v>98661000</v>
      </c>
      <c r="E20" s="124">
        <f ca="1">NICSACO.COM!Q10</f>
        <v>11</v>
      </c>
      <c r="F20" s="210">
        <v>1</v>
      </c>
      <c r="G20" s="129" t="s">
        <v>56</v>
      </c>
      <c r="H20" s="121">
        <v>6</v>
      </c>
      <c r="I20" s="110"/>
    </row>
    <row r="21" spans="1:9" x14ac:dyDescent="0.25">
      <c r="A21" s="110"/>
      <c r="B21" s="126"/>
      <c r="C21" s="141">
        <f t="shared" ca="1" si="0"/>
        <v>49166999.999999993</v>
      </c>
      <c r="D21" s="142">
        <f ca="1">NICSACO.COM!Z9</f>
        <v>49166999.999999993</v>
      </c>
      <c r="E21" s="124">
        <f ca="1">NICSACO.COM!Q11</f>
        <v>1</v>
      </c>
      <c r="F21" s="210">
        <v>1</v>
      </c>
      <c r="G21" s="129" t="s">
        <v>57</v>
      </c>
      <c r="H21" s="122">
        <v>7</v>
      </c>
      <c r="I21" s="110"/>
    </row>
    <row r="22" spans="1:9" x14ac:dyDescent="0.25">
      <c r="A22" s="110"/>
      <c r="B22" s="126"/>
      <c r="C22" s="141">
        <f t="shared" ca="1" si="0"/>
        <v>0</v>
      </c>
      <c r="D22" s="142">
        <f ca="1">NICSACO.COM!Z10</f>
        <v>0</v>
      </c>
      <c r="E22" s="124">
        <f ca="1">NICSACO.COM!Q12</f>
        <v>0</v>
      </c>
      <c r="F22" s="210">
        <v>1</v>
      </c>
      <c r="G22" s="129" t="s">
        <v>58</v>
      </c>
      <c r="H22" s="121">
        <v>8</v>
      </c>
      <c r="I22" s="110"/>
    </row>
    <row r="23" spans="1:9" x14ac:dyDescent="0.25">
      <c r="A23" s="110"/>
      <c r="B23" s="126"/>
      <c r="C23" s="141">
        <f t="shared" ca="1" si="0"/>
        <v>683040000</v>
      </c>
      <c r="D23" s="142">
        <f ca="1">NICSACO.COM!Z11</f>
        <v>136608000</v>
      </c>
      <c r="E23" s="124">
        <f ca="1">NICSACO.COM!Q13</f>
        <v>5</v>
      </c>
      <c r="F23" s="210">
        <v>1</v>
      </c>
      <c r="G23" s="129" t="s">
        <v>59</v>
      </c>
      <c r="H23" s="122">
        <v>9</v>
      </c>
      <c r="I23" s="110"/>
    </row>
    <row r="24" spans="1:9" x14ac:dyDescent="0.25">
      <c r="A24" s="110"/>
      <c r="B24" s="126"/>
      <c r="C24" s="141">
        <f t="shared" ca="1" si="0"/>
        <v>68061000</v>
      </c>
      <c r="D24" s="142">
        <f ca="1">NICSACO.COM!Z12</f>
        <v>68061000</v>
      </c>
      <c r="E24" s="124">
        <f ca="1">NICSACO.COM!Q14</f>
        <v>1</v>
      </c>
      <c r="F24" s="210">
        <v>1</v>
      </c>
      <c r="G24" s="129" t="s">
        <v>60</v>
      </c>
      <c r="H24" s="121">
        <v>10</v>
      </c>
      <c r="I24" s="110"/>
    </row>
    <row r="25" spans="1:9" x14ac:dyDescent="0.25">
      <c r="A25" s="110"/>
      <c r="B25" s="126"/>
      <c r="C25" s="141">
        <f t="shared" ca="1" si="0"/>
        <v>0</v>
      </c>
      <c r="D25" s="142">
        <f ca="1">NICSACO.COM!Z13</f>
        <v>0</v>
      </c>
      <c r="E25" s="124">
        <f ca="1">NICSACO.COM!Q15</f>
        <v>0</v>
      </c>
      <c r="F25" s="210">
        <v>1</v>
      </c>
      <c r="G25" s="129" t="s">
        <v>61</v>
      </c>
      <c r="H25" s="122">
        <v>11</v>
      </c>
      <c r="I25" s="110"/>
    </row>
    <row r="26" spans="1:9" x14ac:dyDescent="0.25">
      <c r="A26" s="110"/>
      <c r="B26" s="126"/>
      <c r="C26" s="141">
        <f t="shared" ca="1" si="0"/>
        <v>1962390000</v>
      </c>
      <c r="D26" s="142">
        <f ca="1">NICSACO.COM!Z14</f>
        <v>196239000</v>
      </c>
      <c r="E26" s="124">
        <f ca="1">NICSACO.COM!Q16</f>
        <v>10</v>
      </c>
      <c r="F26" s="210">
        <v>1</v>
      </c>
      <c r="G26" s="129" t="s">
        <v>62</v>
      </c>
      <c r="H26" s="121">
        <v>12</v>
      </c>
      <c r="I26" s="110"/>
    </row>
    <row r="27" spans="1:9" x14ac:dyDescent="0.25">
      <c r="A27" s="110"/>
      <c r="B27" s="126"/>
      <c r="C27" s="141">
        <f t="shared" ca="1" si="0"/>
        <v>0</v>
      </c>
      <c r="D27" s="142">
        <f ca="1">NICSACO.COM!Z16</f>
        <v>0</v>
      </c>
      <c r="E27" s="124">
        <f ca="1">NICSACO.COM!Q17</f>
        <v>0</v>
      </c>
      <c r="F27" s="210">
        <v>1</v>
      </c>
      <c r="G27" s="129" t="s">
        <v>63</v>
      </c>
      <c r="H27" s="121">
        <v>14</v>
      </c>
      <c r="I27" s="110"/>
    </row>
    <row r="28" spans="1:9" x14ac:dyDescent="0.25">
      <c r="A28" s="110"/>
      <c r="B28" s="126"/>
      <c r="C28" s="141">
        <f t="shared" ca="1" si="0"/>
        <v>588180000</v>
      </c>
      <c r="D28" s="142">
        <f ca="1">NICSACO.COM!Z17</f>
        <v>294090000</v>
      </c>
      <c r="E28" s="124">
        <f ca="1">NICSACO.COM!Q18</f>
        <v>2</v>
      </c>
      <c r="F28" s="210">
        <v>1</v>
      </c>
      <c r="G28" s="129" t="s">
        <v>64</v>
      </c>
      <c r="H28" s="122">
        <v>15</v>
      </c>
      <c r="I28" s="110"/>
    </row>
    <row r="29" spans="1:9" x14ac:dyDescent="0.25">
      <c r="A29" s="110"/>
      <c r="B29" s="126"/>
      <c r="C29" s="141">
        <f t="shared" ca="1" si="0"/>
        <v>0</v>
      </c>
      <c r="D29" s="142">
        <f ca="1">NICSACO.COM!Z18</f>
        <v>0</v>
      </c>
      <c r="E29" s="124">
        <f ca="1">NICSACO.COM!Q19</f>
        <v>0</v>
      </c>
      <c r="F29" s="210">
        <v>1</v>
      </c>
      <c r="G29" s="129" t="s">
        <v>65</v>
      </c>
      <c r="H29" s="121">
        <v>16</v>
      </c>
      <c r="I29" s="110"/>
    </row>
    <row r="30" spans="1:9" x14ac:dyDescent="0.25">
      <c r="A30" s="110"/>
      <c r="B30" s="126"/>
      <c r="C30" s="141">
        <f t="shared" ca="1" si="0"/>
        <v>157478999.99999997</v>
      </c>
      <c r="D30" s="142">
        <f ca="1">NICSACO.COM!Z19</f>
        <v>157478999.99999997</v>
      </c>
      <c r="E30" s="124">
        <f ca="1">NICSACO.COM!Q20</f>
        <v>1</v>
      </c>
      <c r="F30" s="210">
        <v>1</v>
      </c>
      <c r="G30" s="129" t="s">
        <v>66</v>
      </c>
      <c r="H30" s="122">
        <v>17</v>
      </c>
      <c r="I30" s="110"/>
    </row>
    <row r="31" spans="1:9" x14ac:dyDescent="0.25">
      <c r="A31" s="110"/>
      <c r="B31" s="126"/>
      <c r="C31" s="141">
        <f t="shared" ca="1" si="0"/>
        <v>339360000</v>
      </c>
      <c r="D31" s="142">
        <f ca="1">NICSACO.COM!Z20</f>
        <v>12120000</v>
      </c>
      <c r="E31" s="124">
        <f ca="1">NICSACO.COM!Q21</f>
        <v>28</v>
      </c>
      <c r="F31" s="210">
        <v>1</v>
      </c>
      <c r="G31" s="129" t="s">
        <v>98</v>
      </c>
      <c r="H31" s="121">
        <v>18</v>
      </c>
      <c r="I31" s="110"/>
    </row>
    <row r="32" spans="1:9" x14ac:dyDescent="0.25">
      <c r="A32" s="110"/>
      <c r="B32" s="126"/>
      <c r="C32" s="141">
        <f t="shared" ca="1" si="0"/>
        <v>23021999.999999996</v>
      </c>
      <c r="D32" s="142">
        <f ca="1">NICSACO.COM!Z21</f>
        <v>7673999.9999999991</v>
      </c>
      <c r="E32" s="124">
        <f ca="1">NICSACO.COM!Q22</f>
        <v>3</v>
      </c>
      <c r="F32" s="210">
        <v>1</v>
      </c>
      <c r="G32" s="129" t="s">
        <v>97</v>
      </c>
      <c r="H32" s="122">
        <v>19</v>
      </c>
      <c r="I32" s="110"/>
    </row>
    <row r="33" spans="1:14" x14ac:dyDescent="0.25">
      <c r="A33" s="110"/>
      <c r="B33" s="126"/>
      <c r="C33" s="141">
        <f t="shared" ca="1" si="0"/>
        <v>51600000</v>
      </c>
      <c r="D33" s="142">
        <f ca="1">NICSACO.COM!Z22</f>
        <v>12900000</v>
      </c>
      <c r="E33" s="124">
        <f ca="1">NICSACO.COM!Q23</f>
        <v>4</v>
      </c>
      <c r="F33" s="210">
        <v>1</v>
      </c>
      <c r="G33" s="129" t="s">
        <v>99</v>
      </c>
      <c r="H33" s="121">
        <v>20</v>
      </c>
      <c r="I33" s="110"/>
    </row>
    <row r="34" spans="1:14" x14ac:dyDescent="0.25">
      <c r="A34" s="110"/>
      <c r="B34" s="126"/>
      <c r="C34" s="141">
        <f t="shared" ca="1" si="0"/>
        <v>580800000</v>
      </c>
      <c r="D34" s="142">
        <f ca="1">NICSACO.COM!Z23</f>
        <v>3300000</v>
      </c>
      <c r="E34" s="124">
        <f ca="1">NICSACO.COM!Q24</f>
        <v>176</v>
      </c>
      <c r="F34" s="210">
        <v>1</v>
      </c>
      <c r="G34" s="129" t="s">
        <v>92</v>
      </c>
      <c r="H34" s="122">
        <v>21</v>
      </c>
      <c r="I34" s="110"/>
    </row>
    <row r="35" spans="1:14" x14ac:dyDescent="0.25">
      <c r="A35" s="110"/>
      <c r="B35" s="126"/>
      <c r="C35" s="141">
        <f t="shared" ca="1" si="0"/>
        <v>0</v>
      </c>
      <c r="D35" s="142">
        <f ca="1">NICSACO.COM!Z24</f>
        <v>0</v>
      </c>
      <c r="E35" s="124">
        <f ca="1">NICSACO.COM!Q25</f>
        <v>0</v>
      </c>
      <c r="F35" s="210">
        <v>1</v>
      </c>
      <c r="G35" s="130" t="s">
        <v>93</v>
      </c>
      <c r="H35" s="121">
        <v>22</v>
      </c>
      <c r="I35" s="110"/>
    </row>
    <row r="36" spans="1:14" x14ac:dyDescent="0.25">
      <c r="A36" s="110"/>
      <c r="B36" s="126"/>
      <c r="C36" s="141">
        <f t="shared" ca="1" si="0"/>
        <v>3900000</v>
      </c>
      <c r="D36" s="142">
        <f ca="1">NICSACO.COM!Z25</f>
        <v>1950000</v>
      </c>
      <c r="E36" s="124">
        <f ca="1">NICSACO.COM!Q26</f>
        <v>2</v>
      </c>
      <c r="F36" s="210">
        <v>1</v>
      </c>
      <c r="G36" s="129" t="s">
        <v>124</v>
      </c>
      <c r="H36" s="122">
        <v>23</v>
      </c>
      <c r="I36" s="110"/>
    </row>
    <row r="37" spans="1:14" x14ac:dyDescent="0.25">
      <c r="A37" s="110"/>
      <c r="B37" s="126"/>
      <c r="C37" s="141">
        <f t="shared" ca="1" si="0"/>
        <v>11700000</v>
      </c>
      <c r="D37" s="142">
        <f ca="1">NICSACO.COM!Z26</f>
        <v>1950000</v>
      </c>
      <c r="E37" s="124">
        <f ca="1">NICSACO.COM!Q27</f>
        <v>6</v>
      </c>
      <c r="F37" s="210">
        <v>1</v>
      </c>
      <c r="G37" s="129" t="s">
        <v>121</v>
      </c>
      <c r="H37" s="121">
        <v>24</v>
      </c>
      <c r="I37" s="110"/>
    </row>
    <row r="38" spans="1:14" x14ac:dyDescent="0.25">
      <c r="A38" s="110"/>
      <c r="B38" s="126"/>
      <c r="C38" s="141">
        <f t="shared" ca="1" si="0"/>
        <v>60450000</v>
      </c>
      <c r="D38" s="142">
        <f ca="1">NICSACO.COM!Z27</f>
        <v>1950000</v>
      </c>
      <c r="E38" s="124">
        <f ca="1">NICSACO.COM!Q28</f>
        <v>31</v>
      </c>
      <c r="F38" s="210">
        <v>1</v>
      </c>
      <c r="G38" s="129" t="s">
        <v>122</v>
      </c>
      <c r="H38" s="122">
        <v>25</v>
      </c>
      <c r="I38" s="110"/>
    </row>
    <row r="39" spans="1:14" x14ac:dyDescent="0.25">
      <c r="A39" s="110"/>
      <c r="B39" s="126"/>
      <c r="C39" s="141">
        <f t="shared" ca="1" si="0"/>
        <v>1500000</v>
      </c>
      <c r="D39" s="142">
        <f ca="1">NICSACO.COM!Z28</f>
        <v>1500000</v>
      </c>
      <c r="E39" s="124">
        <f ca="1">NICSACO.COM!Q29</f>
        <v>1</v>
      </c>
      <c r="F39" s="210">
        <v>1</v>
      </c>
      <c r="G39" s="129" t="s">
        <v>123</v>
      </c>
      <c r="H39" s="121">
        <v>26</v>
      </c>
      <c r="I39" s="110"/>
    </row>
    <row r="40" spans="1:14" x14ac:dyDescent="0.25">
      <c r="A40" s="110"/>
      <c r="B40" s="126"/>
      <c r="C40" s="141">
        <f t="shared" ca="1" si="0"/>
        <v>10500000</v>
      </c>
      <c r="D40" s="142">
        <f ca="1">NICSACO.COM!Z29</f>
        <v>3500000</v>
      </c>
      <c r="E40" s="124">
        <f ca="1">NICSACO.COM!Q30</f>
        <v>3</v>
      </c>
      <c r="F40" s="210">
        <v>1</v>
      </c>
      <c r="G40" s="129" t="s">
        <v>125</v>
      </c>
      <c r="H40" s="122">
        <v>27</v>
      </c>
      <c r="I40" s="110"/>
      <c r="N40" s="4"/>
    </row>
    <row r="41" spans="1:14" x14ac:dyDescent="0.25">
      <c r="A41" s="110"/>
      <c r="B41" s="126"/>
      <c r="C41" s="141">
        <f t="shared" ca="1" si="0"/>
        <v>10500000</v>
      </c>
      <c r="D41" s="142">
        <f ca="1">NICSACO.COM!Z30</f>
        <v>3500000</v>
      </c>
      <c r="E41" s="124">
        <f ca="1">NICSACO.COM!Q31</f>
        <v>3</v>
      </c>
      <c r="F41" s="210">
        <v>1</v>
      </c>
      <c r="G41" s="129" t="s">
        <v>126</v>
      </c>
      <c r="H41" s="121">
        <v>28</v>
      </c>
      <c r="I41" s="110"/>
      <c r="N41" s="4"/>
    </row>
    <row r="42" spans="1:14" x14ac:dyDescent="0.25">
      <c r="A42" s="110"/>
      <c r="B42" s="126"/>
      <c r="C42" s="141">
        <f t="shared" ca="1" si="0"/>
        <v>53244000</v>
      </c>
      <c r="D42" s="142">
        <f ca="1">NICSACO.COM!Z31</f>
        <v>43500</v>
      </c>
      <c r="E42" s="124">
        <f ca="1">NICSACO.COM!Q32</f>
        <v>1224</v>
      </c>
      <c r="F42" s="210">
        <v>1</v>
      </c>
      <c r="G42" s="130" t="s">
        <v>129</v>
      </c>
      <c r="H42" s="122">
        <v>29</v>
      </c>
      <c r="I42" s="110"/>
      <c r="N42" s="4"/>
    </row>
    <row r="43" spans="1:14" x14ac:dyDescent="0.25">
      <c r="A43" s="110"/>
      <c r="B43" s="126"/>
      <c r="C43" s="141">
        <f t="shared" ca="1" si="0"/>
        <v>6600000</v>
      </c>
      <c r="D43" s="142">
        <f ca="1">NICSACO.COM!Z32</f>
        <v>75000</v>
      </c>
      <c r="E43" s="124">
        <f ca="1">NICSACO.COM!Q33</f>
        <v>88</v>
      </c>
      <c r="F43" s="210">
        <v>1</v>
      </c>
      <c r="G43" s="130" t="s">
        <v>128</v>
      </c>
      <c r="H43" s="121">
        <v>30</v>
      </c>
      <c r="I43" s="110"/>
      <c r="N43" s="4"/>
    </row>
    <row r="44" spans="1:14" x14ac:dyDescent="0.25">
      <c r="A44" s="110"/>
      <c r="B44" s="126" t="str">
        <f ca="1">NICSACO.COM!R34</f>
        <v>80x200Cm2</v>
      </c>
      <c r="C44" s="141">
        <f t="shared" ca="1" si="0"/>
        <v>540000000</v>
      </c>
      <c r="D44" s="142">
        <f ca="1">NICSACO.COM!Z33</f>
        <v>180000000</v>
      </c>
      <c r="E44" s="124">
        <f ca="1">NICSACO.COM!Q34</f>
        <v>3</v>
      </c>
      <c r="F44" s="210">
        <v>1</v>
      </c>
      <c r="G44" s="129" t="s">
        <v>135</v>
      </c>
      <c r="H44" s="122">
        <v>31</v>
      </c>
      <c r="I44" s="110"/>
      <c r="N44" s="4"/>
    </row>
    <row r="45" spans="1:14" x14ac:dyDescent="0.25">
      <c r="A45" s="110"/>
      <c r="B45" s="152" t="s">
        <v>161</v>
      </c>
      <c r="C45" s="153">
        <f t="shared" si="0"/>
        <v>93000000</v>
      </c>
      <c r="D45" s="154">
        <f>NICSACO.COM!Z34</f>
        <v>93000000</v>
      </c>
      <c r="E45" s="155">
        <f>NICSACO.COM!Q35</f>
        <v>1</v>
      </c>
      <c r="F45" s="210">
        <v>1</v>
      </c>
      <c r="G45" s="130" t="s">
        <v>127</v>
      </c>
      <c r="H45" s="121">
        <v>32</v>
      </c>
      <c r="I45" s="110"/>
    </row>
    <row r="46" spans="1:14" x14ac:dyDescent="0.25">
      <c r="A46" s="110"/>
      <c r="B46" s="152" t="s">
        <v>162</v>
      </c>
      <c r="C46" s="153">
        <f t="shared" si="0"/>
        <v>103000000</v>
      </c>
      <c r="D46" s="154">
        <f>NICSACO.COM!Z35</f>
        <v>103000000</v>
      </c>
      <c r="E46" s="155">
        <f>NICSACO.COM!Q36</f>
        <v>1</v>
      </c>
      <c r="F46" s="210">
        <v>1</v>
      </c>
      <c r="G46" s="130" t="s">
        <v>139</v>
      </c>
      <c r="H46" s="122">
        <v>33</v>
      </c>
      <c r="I46" s="110"/>
    </row>
    <row r="47" spans="1:14" x14ac:dyDescent="0.25">
      <c r="A47" s="110"/>
      <c r="B47" s="127"/>
      <c r="C47" s="125"/>
      <c r="D47" s="125"/>
      <c r="E47" s="125"/>
      <c r="F47" s="211">
        <v>1</v>
      </c>
      <c r="G47" s="116"/>
      <c r="H47" s="123">
        <v>34</v>
      </c>
      <c r="I47" s="110"/>
    </row>
    <row r="48" spans="1:14" x14ac:dyDescent="0.25">
      <c r="A48" s="110"/>
      <c r="B48" s="110"/>
      <c r="C48" s="110"/>
      <c r="D48" s="110"/>
      <c r="E48" s="110"/>
      <c r="F48" s="110"/>
      <c r="G48" s="110"/>
      <c r="H48" s="112"/>
      <c r="I48" s="110"/>
    </row>
    <row r="49" spans="1:9" x14ac:dyDescent="0.25">
      <c r="A49" s="110"/>
      <c r="B49" s="217" t="s">
        <v>163</v>
      </c>
      <c r="C49" s="216">
        <f ca="1">SUM(C15:C48)*1.25</f>
        <v>10774295000</v>
      </c>
      <c r="D49" s="215" t="s">
        <v>174</v>
      </c>
      <c r="E49" s="156"/>
      <c r="F49" s="156"/>
      <c r="G49" s="156"/>
      <c r="H49" s="157"/>
      <c r="I49" s="110"/>
    </row>
    <row r="50" spans="1:9" x14ac:dyDescent="0.25">
      <c r="A50" s="110"/>
      <c r="B50" s="110"/>
      <c r="C50" s="110"/>
      <c r="D50" s="110"/>
      <c r="E50" s="110"/>
      <c r="F50" s="110"/>
      <c r="G50" s="110"/>
      <c r="H50" s="112"/>
      <c r="I50" s="110"/>
    </row>
    <row r="51" spans="1:9" ht="25.5" x14ac:dyDescent="0.25">
      <c r="A51" s="110"/>
      <c r="B51" s="110"/>
      <c r="C51" s="110"/>
      <c r="D51" s="110"/>
      <c r="E51" s="110"/>
      <c r="F51" s="110"/>
      <c r="G51" s="161" t="s">
        <v>164</v>
      </c>
      <c r="H51" s="112"/>
      <c r="I51" s="110"/>
    </row>
    <row r="52" spans="1:9" ht="25.5" x14ac:dyDescent="0.25">
      <c r="A52" s="110"/>
      <c r="B52" s="110"/>
      <c r="C52" s="110"/>
      <c r="D52" s="110"/>
      <c r="E52" s="110"/>
      <c r="F52" s="110"/>
      <c r="G52" s="161" t="s">
        <v>165</v>
      </c>
      <c r="H52" s="112"/>
      <c r="I52" s="110"/>
    </row>
    <row r="53" spans="1:9" ht="25.5" x14ac:dyDescent="0.25">
      <c r="A53" s="110"/>
      <c r="B53" s="110"/>
      <c r="C53" s="110"/>
      <c r="D53" s="110"/>
      <c r="E53" s="110"/>
      <c r="F53" s="110"/>
      <c r="G53" s="161" t="s">
        <v>166</v>
      </c>
      <c r="H53" s="112"/>
      <c r="I53" s="110"/>
    </row>
    <row r="54" spans="1:9" ht="25.5" x14ac:dyDescent="0.25">
      <c r="A54" s="110"/>
      <c r="B54" s="110"/>
      <c r="C54" s="110"/>
      <c r="D54" s="110"/>
      <c r="E54" s="110"/>
      <c r="F54" s="110"/>
      <c r="G54" s="161" t="s">
        <v>168</v>
      </c>
      <c r="H54" s="112"/>
      <c r="I54" s="110"/>
    </row>
    <row r="55" spans="1:9" ht="25.5" x14ac:dyDescent="0.25">
      <c r="A55" s="110"/>
      <c r="B55" s="110"/>
      <c r="C55" s="110"/>
      <c r="D55" s="110"/>
      <c r="E55" s="110"/>
      <c r="F55" s="110"/>
      <c r="G55" s="161" t="s">
        <v>167</v>
      </c>
      <c r="H55" s="112"/>
      <c r="I55" s="110"/>
    </row>
    <row r="56" spans="1:9" x14ac:dyDescent="0.25">
      <c r="A56" s="110"/>
      <c r="B56" s="110"/>
      <c r="C56" s="110"/>
      <c r="D56" s="110"/>
      <c r="E56" s="110"/>
      <c r="F56" s="110"/>
      <c r="G56" s="110"/>
      <c r="H56" s="112"/>
      <c r="I56" s="110"/>
    </row>
    <row r="57" spans="1:9" ht="25.5" x14ac:dyDescent="0.25">
      <c r="A57" s="110"/>
      <c r="B57" s="162" t="s">
        <v>169</v>
      </c>
      <c r="C57" s="110"/>
      <c r="D57" s="110"/>
      <c r="E57" s="110"/>
      <c r="F57" s="110"/>
      <c r="G57" s="110"/>
      <c r="H57" s="112"/>
      <c r="I57" s="110"/>
    </row>
    <row r="58" spans="1:9" x14ac:dyDescent="0.25">
      <c r="A58" s="110"/>
      <c r="B58" s="110"/>
      <c r="C58" s="110"/>
      <c r="D58" s="110"/>
      <c r="E58" s="110"/>
      <c r="F58" s="110"/>
      <c r="G58" s="110"/>
      <c r="H58" s="112"/>
      <c r="I58" s="110"/>
    </row>
    <row r="59" spans="1:9" x14ac:dyDescent="0.25">
      <c r="A59" s="110"/>
      <c r="B59" s="110"/>
      <c r="C59" s="110"/>
      <c r="D59" s="110"/>
      <c r="E59" s="110"/>
      <c r="F59" s="110"/>
      <c r="G59" s="110"/>
      <c r="H59" s="112"/>
      <c r="I59" s="110"/>
    </row>
  </sheetData>
  <sheetProtection algorithmName="SHA-512" hashValue="FwRrYBC85/e4O2sNN7DH9CqjQR9wYvlNtWaabZkvTjWKBSAO+pbYNBXQzaKodFI8pyxG7eC34ck+ce88H630qQ==" saltValue="ML02e89tJxkShiiV/38A2Q==" spinCount="100000" sheet="1" objects="1" scenarios="1"/>
  <protectedRanges>
    <protectedRange sqref="G8 F15:F47" name="Range1"/>
  </protectedRanges>
  <pageMargins left="0.45" right="0.45" top="0.5" bottom="0.5" header="0.3" footer="0.3"/>
  <pageSetup paperSize="9" scale="80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NICSACO.COM!$S$38:$S$39</xm:f>
          </x14:formula1>
          <xm:sqref>F15:F47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Input Data</vt:lpstr>
      <vt:lpstr>NICSACO.COM</vt:lpstr>
      <vt:lpstr>PC-NICSACO.COM</vt:lpstr>
      <vt:lpstr>Performa</vt:lpstr>
      <vt:lpstr>'Input Data'!Print_Area</vt:lpstr>
      <vt:lpstr>Performa!Print_Area</vt:lpstr>
    </vt:vector>
  </TitlesOfParts>
  <Company>NICSA Co.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Pejman Tarakameh</dc:creator>
  <cp:lastModifiedBy>Pejman Tarakameh</cp:lastModifiedBy>
  <cp:lastPrinted>2020-11-22T07:16:43Z</cp:lastPrinted>
  <dcterms:created xsi:type="dcterms:W3CDTF">2020-11-02T07:47:43Z</dcterms:created>
  <dcterms:modified xsi:type="dcterms:W3CDTF">2020-11-22T07:19:18Z</dcterms:modified>
</cp:coreProperties>
</file>