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Q:\"/>
    </mc:Choice>
  </mc:AlternateContent>
  <bookViews>
    <workbookView xWindow="0" yWindow="0" windowWidth="21525" windowHeight="11895" tabRatio="601"/>
  </bookViews>
  <sheets>
    <sheet name="PROGRAMMING" sheetId="21" r:id="rId1"/>
    <sheet name="NICSACO.COM" sheetId="17" state="hidden" r:id="rId2"/>
  </sheets>
  <externalReferences>
    <externalReference r:id="rId3"/>
  </externalReferences>
  <definedNames>
    <definedName name="H">[1]Electrical!$B$5</definedName>
    <definedName name="I">NICSACO.COM!$F$4</definedName>
    <definedName name="L">NICSACO.COM!$F$3</definedName>
    <definedName name="_xlnm.Print_Area" localSheetId="0">PROGRAMMING!$B$1:$N$43</definedName>
    <definedName name="V">NICSACO.COM!$F$5</definedName>
  </definedNames>
  <calcPr calcId="162913"/>
</workbook>
</file>

<file path=xl/calcChain.xml><?xml version="1.0" encoding="utf-8"?>
<calcChain xmlns="http://schemas.openxmlformats.org/spreadsheetml/2006/main">
  <c r="C9" i="17" l="1"/>
  <c r="C10" i="17"/>
  <c r="C11" i="17"/>
  <c r="C12" i="17"/>
  <c r="C13" i="17"/>
  <c r="C14" i="17"/>
  <c r="C15" i="17"/>
  <c r="C16" i="17"/>
  <c r="C17" i="17"/>
  <c r="C18" i="17"/>
  <c r="C19" i="17"/>
  <c r="C20" i="17"/>
  <c r="K27" i="17"/>
  <c r="D5" i="17"/>
  <c r="D4" i="17"/>
  <c r="C5" i="17"/>
  <c r="C4" i="17"/>
  <c r="E3" i="17"/>
  <c r="E4" i="17"/>
  <c r="E5" i="17"/>
  <c r="A3" i="17" l="1"/>
  <c r="C3" i="17" s="1"/>
  <c r="D3" i="17" s="1"/>
  <c r="F4" i="17" s="1"/>
  <c r="C8" i="17"/>
  <c r="L6" i="21"/>
  <c r="C31" i="17"/>
  <c r="F31" i="17"/>
  <c r="C2" i="21"/>
  <c r="B15" i="17" l="1"/>
  <c r="A15" i="17" s="1"/>
  <c r="F5" i="17"/>
  <c r="B16" i="17" s="1"/>
  <c r="A16" i="17" s="1"/>
  <c r="F3" i="17"/>
  <c r="C3" i="21"/>
  <c r="D3" i="21"/>
  <c r="C7" i="21"/>
  <c r="B18" i="17" l="1"/>
  <c r="B17" i="17"/>
  <c r="A17" i="17" s="1"/>
  <c r="B14" i="17"/>
  <c r="B13" i="17"/>
  <c r="B12" i="17"/>
  <c r="B11" i="17"/>
  <c r="B10" i="17"/>
  <c r="B9" i="17"/>
  <c r="B8" i="17"/>
  <c r="A8" i="17" s="1"/>
  <c r="B20" i="17"/>
  <c r="A20" i="17" s="1"/>
  <c r="B19" i="17"/>
  <c r="A19" i="17" s="1"/>
  <c r="F6" i="17"/>
  <c r="I22" i="17"/>
  <c r="I23" i="17"/>
  <c r="C22" i="21"/>
  <c r="C21" i="21"/>
  <c r="A18" i="17" l="1"/>
  <c r="C24" i="21" s="1"/>
  <c r="A14" i="17"/>
  <c r="C20" i="21" s="1"/>
  <c r="A13" i="17"/>
  <c r="C19" i="21" s="1"/>
  <c r="A12" i="17"/>
  <c r="C18" i="21" s="1"/>
  <c r="A11" i="17"/>
  <c r="C17" i="21" s="1"/>
  <c r="A10" i="17"/>
  <c r="C16" i="21" s="1"/>
  <c r="A9" i="17"/>
  <c r="C15" i="21" s="1"/>
  <c r="C23" i="21"/>
  <c r="C14" i="21"/>
  <c r="J27" i="17"/>
  <c r="I24" i="17" s="1"/>
  <c r="C26" i="21"/>
  <c r="C25" i="21"/>
  <c r="J28" i="17" l="1"/>
  <c r="K30" i="17" s="1"/>
  <c r="A21" i="17" s="1"/>
  <c r="D28" i="21" s="1"/>
  <c r="K33" i="21" l="1"/>
</calcChain>
</file>

<file path=xl/sharedStrings.xml><?xml version="1.0" encoding="utf-8"?>
<sst xmlns="http://schemas.openxmlformats.org/spreadsheetml/2006/main" count="93" uniqueCount="77">
  <si>
    <t xml:space="preserve">بادرود  </t>
  </si>
  <si>
    <t>ردیف</t>
  </si>
  <si>
    <t>شرح خدمات</t>
  </si>
  <si>
    <t>تاریخ :</t>
  </si>
  <si>
    <t>شماره :</t>
  </si>
  <si>
    <t>لطفا اطلاعات زیر را وارد کنید :</t>
  </si>
  <si>
    <t>تعداد موتور</t>
  </si>
  <si>
    <t>زیمنس</t>
  </si>
  <si>
    <t>اشنایدر</t>
  </si>
  <si>
    <t>امرون</t>
  </si>
  <si>
    <t>ال جی</t>
  </si>
  <si>
    <t>آلن برادلی</t>
  </si>
  <si>
    <t>هیما</t>
  </si>
  <si>
    <t>فوجی</t>
  </si>
  <si>
    <t>لیست کابل کنترل</t>
  </si>
  <si>
    <t xml:space="preserve">هزینه انجام </t>
  </si>
  <si>
    <t>جمع کل</t>
  </si>
  <si>
    <t>برند سیستم کنترل</t>
  </si>
  <si>
    <t>برند HMI</t>
  </si>
  <si>
    <t>WINCC</t>
  </si>
  <si>
    <t>PCS7</t>
  </si>
  <si>
    <t>CITECT</t>
  </si>
  <si>
    <t>HIGH LIGHT</t>
  </si>
  <si>
    <t>ZENON</t>
  </si>
  <si>
    <t>میتسوبیشی</t>
  </si>
  <si>
    <t>مدت زمان انجام این خدمات</t>
  </si>
  <si>
    <t>روز  پس از دریافت پیش پرداخت می باشد .</t>
  </si>
  <si>
    <t xml:space="preserve"> جهت هماهنگی بیشتر با خانم مهندس انصاری به شماره 88526643-021  تماس حاصل فرمایید</t>
  </si>
  <si>
    <t>ریال</t>
  </si>
  <si>
    <t>نام شرکت متقاضی خدمات</t>
  </si>
  <si>
    <t>در این پیشنهاد هیچگونه کسورات قانونی و هزینه اضافی مانند ایاب و ذهاب و غذای کارکنان</t>
  </si>
  <si>
    <t>شرکت نیرو کنترل سامان</t>
  </si>
  <si>
    <t>شرکت:</t>
  </si>
  <si>
    <t>VALID</t>
  </si>
  <si>
    <t>این پیشنهاد معتبر نمی باشد جهت دانلود فایل جدید به سایت WWW.NICSACO.COM  رجوع کنید</t>
  </si>
  <si>
    <t>تعدادابزاردقیق</t>
  </si>
  <si>
    <t>تعدادشیرکنترلی</t>
  </si>
  <si>
    <t>به نام خدا</t>
  </si>
  <si>
    <t>nicsaco.com</t>
  </si>
  <si>
    <t>نیاز</t>
  </si>
  <si>
    <t>موضوع : پیشنهاد قیمت تهیه اسناد فنی مناقصه بخش برق و کنترل و ابزار دقیق</t>
  </si>
  <si>
    <t>Electrical Concept &amp; Single Line Diag.</t>
  </si>
  <si>
    <t>Passage &amp; Trans Post</t>
  </si>
  <si>
    <t>Load List</t>
  </si>
  <si>
    <t xml:space="preserve">لیست مصرف کننده ها </t>
  </si>
  <si>
    <t>Transformer Data&amp;Calculation Sheets</t>
  </si>
  <si>
    <t>Diselgen. Data&amp;Calculation Sheets</t>
  </si>
  <si>
    <t>Power Cable List</t>
  </si>
  <si>
    <t>لیست کابل قدرت</t>
  </si>
  <si>
    <t>لیست ابزاردقیق</t>
  </si>
  <si>
    <t>لیست شیر های کنترلی</t>
  </si>
  <si>
    <t>شماتیک کنترل</t>
  </si>
  <si>
    <t>لیست قطعات تابلو های کنترل</t>
  </si>
  <si>
    <t>Instrument List</t>
  </si>
  <si>
    <t>Control Valve List</t>
  </si>
  <si>
    <t>Control Configuration</t>
  </si>
  <si>
    <t>CP Part List</t>
  </si>
  <si>
    <t>Control Cable List</t>
  </si>
  <si>
    <t>Typical Wiring</t>
  </si>
  <si>
    <t>وایرینگ نمونه تابلو قدرت و کنترل</t>
  </si>
  <si>
    <t>با توجه به اطلاعات دریافت شده بدینوسیله پیشنهاد  قیمت تهیه اسناد فنی مناقصه به شرح زیر تعیین می گردد</t>
  </si>
  <si>
    <t>بدیهی است آن شرکت بنا به مصالح خود می تواند برخی از موارد را  با هماهنگی حذف نماید. شرکت نیکسا آمادگی خود را برای</t>
  </si>
  <si>
    <t xml:space="preserve"> تولید سایر مدارک درخواستی دیگر اعلام می نماید</t>
  </si>
  <si>
    <t xml:space="preserve"> لیست قیمت تجهیزات مرتبط بامناقصه بخش برق و ابزار دقیق  در قیمت کل لحاظ گردد؟</t>
  </si>
  <si>
    <t>کاتالوگ  تجهیزات مرتبط بامناقصه بخش برق و ابزار دقیق  در قیمت کل لحاظ گردد؟</t>
  </si>
  <si>
    <t xml:space="preserve"> شرکت جهت بازدید از محل پروژه دیده نشده است </t>
  </si>
  <si>
    <t>نحوه پرداخت :50 % بعنوان پیش پرداخت  الباقی براساس پیشرفت خدمات و قبل تحویل کامل اسناد دریافت می گردد</t>
  </si>
  <si>
    <t>تعداد ترانسفورماتور</t>
  </si>
  <si>
    <t>تعداد دیزل ژنراتور</t>
  </si>
  <si>
    <t>بله</t>
  </si>
  <si>
    <t>خیر</t>
  </si>
  <si>
    <t xml:space="preserve">مدت زمان انجام خدمات </t>
  </si>
  <si>
    <t xml:space="preserve"> </t>
  </si>
  <si>
    <t>محاسبه سیستم ارت</t>
  </si>
  <si>
    <t>Earth System Calculation</t>
  </si>
  <si>
    <t>eart</t>
  </si>
  <si>
    <t>بن رویان درسا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</si>
</sst>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  <charset val="178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B Elham"/>
      <charset val="178"/>
    </font>
    <font>
      <sz val="10"/>
      <name val="B Mehr"/>
      <charset val="178"/>
    </font>
    <font>
      <b/>
      <sz val="12"/>
      <name val="B Mehr"/>
      <charset val="178"/>
    </font>
    <font>
      <b/>
      <sz val="9"/>
      <name val="B Mehr"/>
      <charset val="178"/>
    </font>
    <font>
      <b/>
      <sz val="10"/>
      <name val="B Mehr"/>
      <charset val="178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B Mehr"/>
      <charset val="178"/>
    </font>
    <font>
      <sz val="11"/>
      <name val="B Mehr"/>
      <charset val="178"/>
    </font>
    <font>
      <b/>
      <sz val="9"/>
      <name val="Arial"/>
      <family val="2"/>
    </font>
    <font>
      <sz val="9"/>
      <name val="Arial"/>
      <family val="2"/>
    </font>
    <font>
      <b/>
      <sz val="10"/>
      <name val="Calibri"/>
      <family val="2"/>
      <scheme val="minor"/>
    </font>
    <font>
      <b/>
      <sz val="11"/>
      <color theme="9" tint="-0.249977111117893"/>
      <name val="B Mehr"/>
      <charset val="178"/>
    </font>
    <font>
      <b/>
      <sz val="10"/>
      <name val="Cambria"/>
      <family val="1"/>
      <scheme val="maj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Arial Black"/>
      <family val="2"/>
    </font>
    <font>
      <sz val="10"/>
      <color theme="0"/>
      <name val="Arial"/>
      <family val="2"/>
    </font>
    <font>
      <sz val="9"/>
      <color theme="0"/>
      <name val="Calibri"/>
      <family val="2"/>
      <scheme val="minor"/>
    </font>
    <font>
      <u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Border="1"/>
    <xf numFmtId="0" fontId="0" fillId="0" borderId="0" xfId="0" applyFill="1" applyBorder="1"/>
    <xf numFmtId="3" fontId="0" fillId="0" borderId="0" xfId="0" applyNumberFormat="1" applyBorder="1"/>
    <xf numFmtId="0" fontId="0" fillId="0" borderId="0" xfId="0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0" fillId="0" borderId="0" xfId="0" applyFont="1" applyBorder="1"/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9" fillId="0" borderId="1" xfId="0" applyFont="1" applyBorder="1"/>
    <xf numFmtId="0" fontId="0" fillId="0" borderId="2" xfId="0" applyBorder="1"/>
    <xf numFmtId="0" fontId="3" fillId="0" borderId="2" xfId="0" applyFont="1" applyBorder="1"/>
    <xf numFmtId="0" fontId="0" fillId="0" borderId="2" xfId="0" applyBorder="1" applyAlignment="1">
      <alignment horizontal="left" vertical="center"/>
    </xf>
    <xf numFmtId="0" fontId="9" fillId="0" borderId="2" xfId="0" applyFont="1" applyBorder="1"/>
    <xf numFmtId="0" fontId="0" fillId="0" borderId="3" xfId="0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8" fillId="0" borderId="0" xfId="0" applyFont="1" applyBorder="1"/>
    <xf numFmtId="0" fontId="7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 vertical="top"/>
    </xf>
    <xf numFmtId="14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1" fillId="0" borderId="0" xfId="0" applyFont="1" applyBorder="1" applyAlignment="1">
      <alignment horizontal="center" vertical="center"/>
    </xf>
    <xf numFmtId="0" fontId="0" fillId="0" borderId="1" xfId="0" applyFill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3" xfId="0" applyFont="1" applyBorder="1"/>
    <xf numFmtId="0" fontId="6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/>
    <xf numFmtId="3" fontId="0" fillId="0" borderId="3" xfId="0" applyNumberFormat="1" applyBorder="1" applyAlignment="1">
      <alignment horizontal="right"/>
    </xf>
    <xf numFmtId="0" fontId="8" fillId="0" borderId="5" xfId="0" applyFont="1" applyBorder="1"/>
    <xf numFmtId="0" fontId="0" fillId="0" borderId="8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1" applyFont="1" applyBorder="1" applyAlignment="1" applyProtection="1"/>
    <xf numFmtId="0" fontId="9" fillId="0" borderId="0" xfId="0" applyFont="1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top"/>
    </xf>
    <xf numFmtId="0" fontId="16" fillId="0" borderId="0" xfId="1" applyFont="1" applyAlignment="1" applyProtection="1">
      <alignment horizontal="left" vertical="top" indent="7" readingOrder="2"/>
    </xf>
    <xf numFmtId="0" fontId="16" fillId="0" borderId="0" xfId="1" applyFont="1" applyAlignment="1" applyProtection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19" fillId="0" borderId="1" xfId="0" applyFont="1" applyBorder="1"/>
    <xf numFmtId="0" fontId="19" fillId="0" borderId="1" xfId="0" applyFont="1" applyBorder="1" applyAlignment="1">
      <alignment horizontal="left" vertical="center"/>
    </xf>
    <xf numFmtId="0" fontId="14" fillId="2" borderId="9" xfId="0" applyFont="1" applyFill="1" applyBorder="1" applyAlignment="1">
      <alignment horizontal="center" vertical="center"/>
    </xf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0" fillId="3" borderId="0" xfId="0" applyFont="1" applyFill="1" applyBorder="1"/>
    <xf numFmtId="0" fontId="20" fillId="3" borderId="0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 vertical="center"/>
    </xf>
    <xf numFmtId="0" fontId="21" fillId="3" borderId="0" xfId="0" applyFont="1" applyFill="1" applyBorder="1"/>
    <xf numFmtId="0" fontId="21" fillId="3" borderId="0" xfId="0" applyFont="1" applyFill="1" applyBorder="1" applyAlignment="1">
      <alignment vertical="center"/>
    </xf>
    <xf numFmtId="0" fontId="21" fillId="3" borderId="0" xfId="0" applyFont="1" applyFill="1" applyBorder="1" applyAlignment="1">
      <alignment horizontal="left" vertical="center"/>
    </xf>
    <xf numFmtId="14" fontId="20" fillId="3" borderId="0" xfId="0" applyNumberFormat="1" applyFont="1" applyFill="1" applyBorder="1"/>
    <xf numFmtId="14" fontId="20" fillId="3" borderId="0" xfId="0" applyNumberFormat="1" applyFont="1" applyFill="1" applyBorder="1" applyAlignment="1">
      <alignment horizontal="center" vertical="center"/>
    </xf>
    <xf numFmtId="3" fontId="20" fillId="3" borderId="0" xfId="0" applyNumberFormat="1" applyFont="1" applyFill="1" applyBorder="1"/>
    <xf numFmtId="3" fontId="20" fillId="3" borderId="0" xfId="0" applyNumberFormat="1" applyFont="1" applyFill="1" applyBorder="1" applyAlignment="1">
      <alignment horizontal="center" vertical="center"/>
    </xf>
    <xf numFmtId="2" fontId="20" fillId="3" borderId="0" xfId="0" applyNumberFormat="1" applyFont="1" applyFill="1" applyBorder="1" applyAlignment="1">
      <alignment horizontal="center" vertical="center"/>
    </xf>
    <xf numFmtId="2" fontId="20" fillId="3" borderId="0" xfId="0" applyNumberFormat="1" applyFont="1" applyFill="1" applyBorder="1"/>
    <xf numFmtId="0" fontId="22" fillId="3" borderId="0" xfId="1" applyFont="1" applyFill="1" applyBorder="1" applyAlignment="1" applyProtection="1">
      <alignment horizontal="left" vertical="center"/>
    </xf>
    <xf numFmtId="0" fontId="19" fillId="0" borderId="1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3" fontId="17" fillId="0" borderId="1" xfId="0" applyNumberFormat="1" applyFont="1" applyFill="1" applyBorder="1" applyAlignment="1">
      <alignment horizontal="right" vertical="center"/>
    </xf>
    <xf numFmtId="3" fontId="17" fillId="0" borderId="2" xfId="0" applyNumberFormat="1" applyFont="1" applyFill="1" applyBorder="1" applyAlignment="1">
      <alignment horizontal="right" vertical="center"/>
    </xf>
    <xf numFmtId="3" fontId="18" fillId="0" borderId="2" xfId="0" applyNumberFormat="1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286312</xdr:colOff>
      <xdr:row>6</xdr:row>
      <xdr:rowOff>228041</xdr:rowOff>
    </xdr:from>
    <xdr:to>
      <xdr:col>17</xdr:col>
      <xdr:colOff>819712</xdr:colOff>
      <xdr:row>8</xdr:row>
      <xdr:rowOff>180416</xdr:rowOff>
    </xdr:to>
    <xdr:pic>
      <xdr:nvPicPr>
        <xdr:cNvPr id="1129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9106" y="1707217"/>
          <a:ext cx="533400" cy="445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464484</xdr:colOff>
      <xdr:row>10</xdr:row>
      <xdr:rowOff>68355</xdr:rowOff>
    </xdr:from>
    <xdr:to>
      <xdr:col>17</xdr:col>
      <xdr:colOff>855009</xdr:colOff>
      <xdr:row>12</xdr:row>
      <xdr:rowOff>74519</xdr:rowOff>
    </xdr:to>
    <xdr:pic>
      <xdr:nvPicPr>
        <xdr:cNvPr id="1130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7278" y="2544855"/>
          <a:ext cx="390525" cy="499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332814</xdr:colOff>
      <xdr:row>12</xdr:row>
      <xdr:rowOff>262218</xdr:rowOff>
    </xdr:from>
    <xdr:to>
      <xdr:col>17</xdr:col>
      <xdr:colOff>913839</xdr:colOff>
      <xdr:row>15</xdr:row>
      <xdr:rowOff>87406</xdr:rowOff>
    </xdr:to>
    <xdr:pic>
      <xdr:nvPicPr>
        <xdr:cNvPr id="1133" name="Picture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5608" y="3321424"/>
          <a:ext cx="581025" cy="583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141861</xdr:colOff>
      <xdr:row>2</xdr:row>
      <xdr:rowOff>0</xdr:rowOff>
    </xdr:from>
    <xdr:to>
      <xdr:col>13</xdr:col>
      <xdr:colOff>28575</xdr:colOff>
      <xdr:row>4</xdr:row>
      <xdr:rowOff>123264</xdr:rowOff>
    </xdr:to>
    <xdr:pic>
      <xdr:nvPicPr>
        <xdr:cNvPr id="1134" name="Picture 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832" y="493059"/>
          <a:ext cx="1388302" cy="616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533400</xdr:colOff>
      <xdr:row>41</xdr:row>
      <xdr:rowOff>171450</xdr:rowOff>
    </xdr:from>
    <xdr:to>
      <xdr:col>13</xdr:col>
      <xdr:colOff>85725</xdr:colOff>
      <xdr:row>42</xdr:row>
      <xdr:rowOff>85725</xdr:rowOff>
    </xdr:to>
    <xdr:pic>
      <xdr:nvPicPr>
        <xdr:cNvPr id="1135" name="Picture 8" descr="D:\Site\boss\excel\calculate sheet\Capture.JP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0020300"/>
          <a:ext cx="10572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</xdr:colOff>
      <xdr:row>42</xdr:row>
      <xdr:rowOff>95250</xdr:rowOff>
    </xdr:from>
    <xdr:to>
      <xdr:col>13</xdr:col>
      <xdr:colOff>76200</xdr:colOff>
      <xdr:row>42</xdr:row>
      <xdr:rowOff>266700</xdr:rowOff>
    </xdr:to>
    <xdr:pic>
      <xdr:nvPicPr>
        <xdr:cNvPr id="1136" name="Picture 12" descr="C:\Users\m.asghasem\Desktop\Capture1.JP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10229850"/>
          <a:ext cx="20574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168089</xdr:colOff>
      <xdr:row>10</xdr:row>
      <xdr:rowOff>44823</xdr:rowOff>
    </xdr:from>
    <xdr:to>
      <xdr:col>20</xdr:col>
      <xdr:colOff>758639</xdr:colOff>
      <xdr:row>12</xdr:row>
      <xdr:rowOff>92448</xdr:rowOff>
    </xdr:to>
    <xdr:pic>
      <xdr:nvPicPr>
        <xdr:cNvPr id="10" name="Picture 4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6177" y="2521323"/>
          <a:ext cx="590550" cy="540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134471</xdr:colOff>
      <xdr:row>12</xdr:row>
      <xdr:rowOff>156884</xdr:rowOff>
    </xdr:from>
    <xdr:to>
      <xdr:col>20</xdr:col>
      <xdr:colOff>814293</xdr:colOff>
      <xdr:row>15</xdr:row>
      <xdr:rowOff>97118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2559" y="3216090"/>
          <a:ext cx="679822" cy="679822"/>
        </a:xfrm>
        <a:prstGeom prst="rect">
          <a:avLst/>
        </a:prstGeom>
      </xdr:spPr>
    </xdr:pic>
    <xdr:clientData/>
  </xdr:twoCellAnchor>
  <xdr:twoCellAnchor editAs="oneCell">
    <xdr:from>
      <xdr:col>20</xdr:col>
      <xdr:colOff>134471</xdr:colOff>
      <xdr:row>3</xdr:row>
      <xdr:rowOff>11207</xdr:rowOff>
    </xdr:from>
    <xdr:to>
      <xdr:col>20</xdr:col>
      <xdr:colOff>762000</xdr:colOff>
      <xdr:row>5</xdr:row>
      <xdr:rowOff>145677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2559" y="750795"/>
          <a:ext cx="627529" cy="627529"/>
        </a:xfrm>
        <a:prstGeom prst="rect">
          <a:avLst/>
        </a:prstGeom>
      </xdr:spPr>
    </xdr:pic>
    <xdr:clientData/>
  </xdr:twoCellAnchor>
  <xdr:twoCellAnchor editAs="oneCell">
    <xdr:from>
      <xdr:col>20</xdr:col>
      <xdr:colOff>56030</xdr:colOff>
      <xdr:row>6</xdr:row>
      <xdr:rowOff>34782</xdr:rowOff>
    </xdr:from>
    <xdr:to>
      <xdr:col>20</xdr:col>
      <xdr:colOff>862852</xdr:colOff>
      <xdr:row>8</xdr:row>
      <xdr:rowOff>242045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54118" y="1513958"/>
          <a:ext cx="806822" cy="7003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ISO\Nicsa\20-%20&#1705;&#1606;&#1578;&#1585;&#1604;%20&#1662;&#1585;&#1608;&#1688;&#1607;\&#1580;&#1583;&#1608;&#1604;%20&#1586;&#1605;&#1575;&#1606;&#1740;%20&#1662;&#1585;&#1608;&#1688;&#160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al"/>
      <sheetName val="Instrument"/>
    </sheetNames>
    <sheetDataSet>
      <sheetData sheetId="0">
        <row r="5">
          <cell r="B5">
            <v>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nicsaco.com/" TargetMode="External"/><Relationship Id="rId1" Type="http://schemas.openxmlformats.org/officeDocument/2006/relationships/hyperlink" Target="file:///\\nicsaco.local\ansari$\Archives\1-Nicsa%20service%20site\Website\02-nicsa%20website\Content%20-NICSA\&#1582;&#1583;&#1605;&#1575;&#1578;%20&#1588;&#1585;&#1705;&#1578;%20&#1606;&#1740;&#1705;&#1587;&#1575;\01-&#1591;&#1585;&#1575;&#1581;&#1740;%20&#1608;%20&#1605;&#1607;&#1606;&#1583;&#1587;&#1740;\5-&#1576;&#1585;&#1606;&#1575;&#1605;&#1607;%20&#1606;&#1608;&#1740;&#1587;&#1740;%20&#1608;%20&#1605;&#1575;&#1606;&#1740;&#1578;&#1608;&#1585;&#1740;&#1606;&#1711;\nisaco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icsac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52"/>
  <sheetViews>
    <sheetView tabSelected="1" zoomScale="85" zoomScaleNormal="85" zoomScaleSheetLayoutView="98" workbookViewId="0">
      <selection activeCell="S16" sqref="S16"/>
    </sheetView>
  </sheetViews>
  <sheetFormatPr defaultRowHeight="12.75" x14ac:dyDescent="0.2"/>
  <cols>
    <col min="2" max="2" width="12.7109375" customWidth="1"/>
    <col min="3" max="3" width="14" customWidth="1"/>
    <col min="4" max="4" width="2.28515625" customWidth="1"/>
    <col min="5" max="5" width="6.42578125" customWidth="1"/>
    <col min="6" max="6" width="3.85546875" customWidth="1"/>
    <col min="7" max="7" width="8" customWidth="1"/>
    <col min="8" max="8" width="3.28515625" customWidth="1"/>
    <col min="9" max="9" width="11.85546875" customWidth="1"/>
    <col min="10" max="10" width="2.85546875" customWidth="1"/>
    <col min="11" max="11" width="4.5703125" style="15" customWidth="1"/>
    <col min="12" max="12" width="16.85546875" customWidth="1"/>
    <col min="13" max="13" width="5.7109375" style="1" customWidth="1"/>
    <col min="14" max="14" width="8" customWidth="1"/>
    <col min="18" max="18" width="17.5703125" bestFit="1" customWidth="1"/>
    <col min="19" max="19" width="10.28515625" bestFit="1" customWidth="1"/>
    <col min="21" max="21" width="13.5703125" bestFit="1" customWidth="1"/>
    <col min="22" max="22" width="17.28515625" bestFit="1" customWidth="1"/>
  </cols>
  <sheetData>
    <row r="1" spans="2:23" ht="20.100000000000001" customHeight="1" x14ac:dyDescent="0.8">
      <c r="B1" s="3"/>
      <c r="C1" s="3"/>
      <c r="D1" s="3"/>
      <c r="E1" s="3"/>
      <c r="F1" s="3"/>
      <c r="G1" s="3"/>
      <c r="H1" s="3"/>
      <c r="I1" s="3"/>
      <c r="J1" s="3"/>
      <c r="K1" s="14"/>
      <c r="L1" s="3"/>
      <c r="M1" s="2"/>
      <c r="N1" s="3"/>
      <c r="U1" s="17"/>
    </row>
    <row r="2" spans="2:23" ht="20.100000000000001" customHeight="1" thickBot="1" x14ac:dyDescent="0.25">
      <c r="B2" s="34"/>
      <c r="C2" s="37">
        <f ca="1">TODAY()</f>
        <v>44160</v>
      </c>
      <c r="D2" s="38"/>
      <c r="E2" s="38" t="s">
        <v>3</v>
      </c>
      <c r="F2" s="3"/>
      <c r="G2" s="38"/>
      <c r="H2" s="3"/>
      <c r="I2" s="3"/>
      <c r="J2" s="3"/>
      <c r="K2" s="14"/>
      <c r="L2" s="3"/>
      <c r="M2" s="12" t="s">
        <v>37</v>
      </c>
      <c r="N2" s="3"/>
      <c r="T2" s="69" t="s">
        <v>5</v>
      </c>
      <c r="U2" s="1"/>
    </row>
    <row r="3" spans="2:23" ht="20.100000000000001" customHeight="1" thickTop="1" x14ac:dyDescent="0.2">
      <c r="B3" s="34"/>
      <c r="C3" s="39">
        <f>NICSACO.COM!E3*1000000+1000*NICSACO.COM!E4+NICSACO.COM!E5</f>
        <v>36020003</v>
      </c>
      <c r="D3" s="40">
        <f>NICSACO.COM!C31*NICSACO.COM!F31</f>
        <v>1</v>
      </c>
      <c r="E3" s="38" t="s">
        <v>4</v>
      </c>
      <c r="F3" s="3"/>
      <c r="G3" s="38"/>
      <c r="H3" s="3"/>
      <c r="I3" s="3"/>
      <c r="J3" s="3"/>
      <c r="K3" s="14"/>
      <c r="L3" s="3"/>
      <c r="M3" s="2"/>
      <c r="N3" s="3"/>
      <c r="Q3" s="48"/>
      <c r="R3" s="49"/>
      <c r="S3" s="49"/>
      <c r="T3" s="49"/>
      <c r="U3" s="64"/>
      <c r="V3" s="49"/>
      <c r="W3" s="50"/>
    </row>
    <row r="4" spans="2:23" ht="20.100000000000001" customHeight="1" x14ac:dyDescent="0.2">
      <c r="B4" s="3"/>
      <c r="C4" s="3"/>
      <c r="D4" s="3"/>
      <c r="E4" s="3"/>
      <c r="F4" s="3"/>
      <c r="G4" s="3"/>
      <c r="H4" s="3"/>
      <c r="I4" s="3"/>
      <c r="J4" s="3"/>
      <c r="K4" s="14"/>
      <c r="L4" s="3"/>
      <c r="M4" s="2"/>
      <c r="N4" s="3"/>
      <c r="Q4" s="51"/>
      <c r="R4" s="66" t="s">
        <v>29</v>
      </c>
      <c r="T4" s="2"/>
      <c r="U4" s="2"/>
      <c r="W4" s="65"/>
    </row>
    <row r="5" spans="2:23" ht="20.100000000000001" customHeight="1" x14ac:dyDescent="0.2">
      <c r="B5" s="3"/>
      <c r="C5" s="3"/>
      <c r="D5" s="3"/>
      <c r="E5" s="3"/>
      <c r="F5" s="3"/>
      <c r="G5" s="3"/>
      <c r="H5" s="3"/>
      <c r="I5" s="3"/>
      <c r="J5" s="3"/>
      <c r="K5" s="14"/>
      <c r="L5" s="3"/>
      <c r="M5" s="2"/>
      <c r="N5" s="3"/>
      <c r="Q5" s="51"/>
      <c r="R5" s="67" t="s">
        <v>76</v>
      </c>
      <c r="T5" s="2"/>
      <c r="U5" s="2"/>
      <c r="V5" s="66" t="s">
        <v>67</v>
      </c>
      <c r="W5" s="65"/>
    </row>
    <row r="6" spans="2:23" ht="20.100000000000001" customHeight="1" x14ac:dyDescent="0.7">
      <c r="B6" s="3"/>
      <c r="C6" s="11"/>
      <c r="D6" s="11"/>
      <c r="E6" s="11"/>
      <c r="F6" s="11"/>
      <c r="G6" s="11"/>
      <c r="H6" s="11"/>
      <c r="I6" s="11"/>
      <c r="J6" s="11"/>
      <c r="K6" s="16"/>
      <c r="L6" s="13" t="str">
        <f>R5</f>
        <v>بن رویان درسا</v>
      </c>
      <c r="M6" s="35" t="s">
        <v>32</v>
      </c>
      <c r="N6" s="3"/>
      <c r="Q6" s="51"/>
      <c r="R6" s="3"/>
      <c r="S6" s="66"/>
      <c r="T6" s="2"/>
      <c r="U6" s="2"/>
      <c r="V6" s="67">
        <v>2</v>
      </c>
      <c r="W6" s="65"/>
    </row>
    <row r="7" spans="2:23" ht="20.100000000000001" customHeight="1" x14ac:dyDescent="0.7">
      <c r="B7" s="3"/>
      <c r="C7" s="36" t="str">
        <f ca="1">IF(NICSACO.COM!D3,NICSACO.COM!B34,NICSACO.COM!B35)</f>
        <v>VALID</v>
      </c>
      <c r="D7" s="11"/>
      <c r="E7" s="11"/>
      <c r="F7" s="11"/>
      <c r="G7" s="11"/>
      <c r="H7" s="11"/>
      <c r="I7" s="11"/>
      <c r="J7" s="11"/>
      <c r="K7" s="16"/>
      <c r="L7" s="11"/>
      <c r="M7" s="12"/>
      <c r="N7" s="3"/>
      <c r="Q7" s="51"/>
      <c r="T7" s="2"/>
      <c r="U7" s="2"/>
      <c r="W7" s="65"/>
    </row>
    <row r="8" spans="2:23" ht="20.100000000000001" customHeight="1" x14ac:dyDescent="0.7">
      <c r="B8" s="3"/>
      <c r="C8" s="11"/>
      <c r="D8" s="11"/>
      <c r="E8" s="11"/>
      <c r="F8" s="11"/>
      <c r="G8" s="11"/>
      <c r="H8" s="11"/>
      <c r="I8" s="11"/>
      <c r="J8" s="11"/>
      <c r="K8" s="16"/>
      <c r="L8" s="44" t="s">
        <v>40</v>
      </c>
      <c r="M8" s="12"/>
      <c r="N8" s="3"/>
      <c r="Q8" s="51"/>
      <c r="S8" s="66" t="s">
        <v>6</v>
      </c>
      <c r="T8" s="2"/>
      <c r="U8" s="2"/>
      <c r="V8" s="66" t="s">
        <v>68</v>
      </c>
      <c r="W8" s="65"/>
    </row>
    <row r="9" spans="2:23" ht="20.100000000000001" customHeight="1" x14ac:dyDescent="0.7">
      <c r="B9" s="3"/>
      <c r="C9" s="11"/>
      <c r="D9" s="11"/>
      <c r="E9" s="11"/>
      <c r="F9" s="11"/>
      <c r="G9" s="11"/>
      <c r="H9" s="11"/>
      <c r="I9" s="11"/>
      <c r="J9" s="11"/>
      <c r="K9" s="16"/>
      <c r="L9" s="43" t="s">
        <v>0</v>
      </c>
      <c r="M9" s="12"/>
      <c r="N9" s="3"/>
      <c r="Q9" s="51"/>
      <c r="R9" s="3"/>
      <c r="S9" s="67">
        <v>36</v>
      </c>
      <c r="T9" s="2"/>
      <c r="U9" s="2"/>
      <c r="V9" s="67">
        <v>1</v>
      </c>
      <c r="W9" s="65"/>
    </row>
    <row r="10" spans="2:23" ht="20.100000000000001" customHeight="1" x14ac:dyDescent="0.7">
      <c r="B10" s="3"/>
      <c r="C10" s="11"/>
      <c r="D10" s="11"/>
      <c r="E10" s="11"/>
      <c r="F10" s="11"/>
      <c r="G10" s="11"/>
      <c r="H10" s="11"/>
      <c r="I10" s="11"/>
      <c r="J10" s="11"/>
      <c r="K10" s="16"/>
      <c r="L10" s="3"/>
      <c r="M10" s="11" t="s">
        <v>60</v>
      </c>
      <c r="N10" s="3"/>
      <c r="Q10" s="51"/>
      <c r="T10" s="2"/>
      <c r="U10" s="2"/>
      <c r="W10" s="65"/>
    </row>
    <row r="11" spans="2:23" ht="20.100000000000001" customHeight="1" x14ac:dyDescent="0.7">
      <c r="B11" s="3"/>
      <c r="C11" s="11"/>
      <c r="D11" s="11"/>
      <c r="E11" s="11"/>
      <c r="F11" s="11"/>
      <c r="G11" s="11"/>
      <c r="H11" s="11"/>
      <c r="I11" s="11"/>
      <c r="J11" s="11"/>
      <c r="K11" s="16"/>
      <c r="L11" s="3"/>
      <c r="M11" s="11" t="s">
        <v>61</v>
      </c>
      <c r="N11" s="3"/>
      <c r="Q11" s="51"/>
      <c r="S11" s="66" t="s">
        <v>35</v>
      </c>
      <c r="T11" s="2"/>
      <c r="U11" s="2"/>
      <c r="V11" s="66" t="s">
        <v>17</v>
      </c>
      <c r="W11" s="65"/>
    </row>
    <row r="12" spans="2:23" ht="20.100000000000001" customHeight="1" x14ac:dyDescent="0.7">
      <c r="B12" s="3"/>
      <c r="C12" s="7"/>
      <c r="D12" s="7"/>
      <c r="E12" s="7"/>
      <c r="F12" s="7"/>
      <c r="G12" s="3"/>
      <c r="H12" s="3"/>
      <c r="I12" s="3"/>
      <c r="J12" s="3"/>
      <c r="K12" s="14"/>
      <c r="L12" s="6"/>
      <c r="M12" s="11" t="s">
        <v>62</v>
      </c>
      <c r="N12" s="3"/>
      <c r="Q12" s="51"/>
      <c r="R12" s="6"/>
      <c r="S12" s="67">
        <v>20</v>
      </c>
      <c r="T12" s="2"/>
      <c r="U12" s="2"/>
      <c r="V12" s="67" t="s">
        <v>7</v>
      </c>
      <c r="W12" s="65"/>
    </row>
    <row r="13" spans="2:23" ht="20.100000000000001" customHeight="1" x14ac:dyDescent="0.65">
      <c r="B13" s="3"/>
      <c r="C13" s="53"/>
      <c r="D13" s="54"/>
      <c r="E13" s="54"/>
      <c r="F13" s="54" t="s">
        <v>15</v>
      </c>
      <c r="G13" s="56"/>
      <c r="H13" s="54" t="s">
        <v>39</v>
      </c>
      <c r="I13" s="60"/>
      <c r="J13" s="25"/>
      <c r="K13" s="55" t="s">
        <v>2</v>
      </c>
      <c r="L13" s="56"/>
      <c r="M13" s="56" t="s">
        <v>1</v>
      </c>
      <c r="N13" s="3"/>
      <c r="Q13" s="51"/>
      <c r="R13" s="3"/>
      <c r="S13" s="3"/>
      <c r="T13" s="3"/>
      <c r="U13" s="3"/>
      <c r="V13" s="66"/>
      <c r="W13" s="81"/>
    </row>
    <row r="14" spans="2:23" ht="20.100000000000001" customHeight="1" x14ac:dyDescent="0.65">
      <c r="B14" s="3"/>
      <c r="C14" s="101">
        <f ca="1">NICSACO.COM!A8*H14</f>
        <v>9000000</v>
      </c>
      <c r="D14" s="102"/>
      <c r="E14" s="102"/>
      <c r="F14" s="102"/>
      <c r="G14" s="63"/>
      <c r="H14" s="77">
        <v>1</v>
      </c>
      <c r="I14" s="78" t="s">
        <v>43</v>
      </c>
      <c r="J14" s="25"/>
      <c r="K14" s="55"/>
      <c r="L14" s="56" t="s">
        <v>44</v>
      </c>
      <c r="M14" s="57">
        <v>1</v>
      </c>
      <c r="N14" s="3"/>
      <c r="Q14" s="51"/>
      <c r="R14" s="3"/>
      <c r="S14" s="66" t="s">
        <v>36</v>
      </c>
      <c r="T14" s="3"/>
      <c r="U14" s="3"/>
      <c r="V14" s="66" t="s">
        <v>18</v>
      </c>
      <c r="W14" s="81"/>
    </row>
    <row r="15" spans="2:23" ht="20.100000000000001" customHeight="1" x14ac:dyDescent="0.2">
      <c r="B15" s="3"/>
      <c r="C15" s="101">
        <f ca="1">NICSACO.COM!A9*H15</f>
        <v>25000000</v>
      </c>
      <c r="D15" s="102"/>
      <c r="E15" s="102"/>
      <c r="F15" s="102"/>
      <c r="G15" s="62"/>
      <c r="H15" s="77">
        <v>1</v>
      </c>
      <c r="I15" s="98" t="s">
        <v>41</v>
      </c>
      <c r="J15" s="99"/>
      <c r="K15" s="99"/>
      <c r="L15" s="100"/>
      <c r="M15" s="57">
        <v>2</v>
      </c>
      <c r="N15" s="3"/>
      <c r="Q15" s="51"/>
      <c r="R15" s="3"/>
      <c r="S15" s="67">
        <v>3</v>
      </c>
      <c r="T15" s="3"/>
      <c r="U15" s="3"/>
      <c r="V15" s="68" t="s">
        <v>19</v>
      </c>
      <c r="W15" s="81"/>
    </row>
    <row r="16" spans="2:23" ht="20.100000000000001" customHeight="1" x14ac:dyDescent="0.2">
      <c r="B16" s="3"/>
      <c r="C16" s="101">
        <f ca="1">NICSACO.COM!A10*H16</f>
        <v>16000000</v>
      </c>
      <c r="D16" s="102"/>
      <c r="E16" s="102"/>
      <c r="F16" s="102"/>
      <c r="G16" s="62"/>
      <c r="H16" s="77">
        <v>1</v>
      </c>
      <c r="I16" s="98" t="s">
        <v>42</v>
      </c>
      <c r="J16" s="99"/>
      <c r="K16" s="99"/>
      <c r="L16" s="100"/>
      <c r="M16" s="57">
        <v>3</v>
      </c>
      <c r="N16" s="3"/>
      <c r="Q16" s="51"/>
      <c r="R16" s="3"/>
      <c r="S16" s="3"/>
      <c r="T16" s="3"/>
      <c r="U16" s="3"/>
      <c r="V16" s="3"/>
      <c r="W16" s="81"/>
    </row>
    <row r="17" spans="2:23" ht="20.100000000000001" customHeight="1" x14ac:dyDescent="0.2">
      <c r="B17" s="6"/>
      <c r="C17" s="101">
        <f ca="1">NICSACO.COM!A11*H17</f>
        <v>14000000</v>
      </c>
      <c r="D17" s="102"/>
      <c r="E17" s="102"/>
      <c r="F17" s="102"/>
      <c r="G17" s="62"/>
      <c r="H17" s="77">
        <v>1</v>
      </c>
      <c r="I17" s="98" t="s">
        <v>45</v>
      </c>
      <c r="J17" s="99"/>
      <c r="K17" s="99"/>
      <c r="L17" s="100"/>
      <c r="M17" s="57">
        <v>4</v>
      </c>
      <c r="N17" s="3"/>
      <c r="Q17" s="51"/>
      <c r="R17" s="3"/>
      <c r="S17" s="3"/>
      <c r="T17" s="3"/>
      <c r="U17" s="3"/>
      <c r="V17" s="3"/>
      <c r="W17" s="81"/>
    </row>
    <row r="18" spans="2:23" ht="20.100000000000001" customHeight="1" x14ac:dyDescent="0.2">
      <c r="B18" s="3"/>
      <c r="C18" s="101">
        <f ca="1">NICSACO.COM!A12*H18</f>
        <v>7000000</v>
      </c>
      <c r="D18" s="102"/>
      <c r="E18" s="102"/>
      <c r="F18" s="102"/>
      <c r="G18" s="62"/>
      <c r="H18" s="77">
        <v>1</v>
      </c>
      <c r="I18" s="98" t="s">
        <v>46</v>
      </c>
      <c r="J18" s="99"/>
      <c r="K18" s="99"/>
      <c r="L18" s="100"/>
      <c r="M18" s="57">
        <v>5</v>
      </c>
      <c r="N18" s="3"/>
      <c r="Q18" s="51"/>
      <c r="R18" s="66" t="s">
        <v>71</v>
      </c>
      <c r="S18" s="67"/>
      <c r="T18" s="3"/>
      <c r="U18" s="3"/>
      <c r="V18" s="3"/>
      <c r="W18" s="81"/>
    </row>
    <row r="19" spans="2:23" ht="20.100000000000001" customHeight="1" thickBot="1" x14ac:dyDescent="0.7">
      <c r="B19" s="3"/>
      <c r="C19" s="101">
        <f ca="1">NICSACO.COM!A13*H19</f>
        <v>6000000</v>
      </c>
      <c r="D19" s="102"/>
      <c r="E19" s="102"/>
      <c r="F19" s="102"/>
      <c r="G19" s="62"/>
      <c r="H19" s="77">
        <v>1</v>
      </c>
      <c r="I19" s="79" t="s">
        <v>47</v>
      </c>
      <c r="J19" s="25"/>
      <c r="K19" s="55"/>
      <c r="L19" s="56" t="s">
        <v>48</v>
      </c>
      <c r="M19" s="57">
        <v>6</v>
      </c>
      <c r="N19" s="3"/>
      <c r="Q19" s="82"/>
      <c r="R19" s="83"/>
      <c r="S19" s="83"/>
      <c r="T19" s="83"/>
      <c r="U19" s="83"/>
      <c r="V19" s="83"/>
      <c r="W19" s="84"/>
    </row>
    <row r="20" spans="2:23" ht="20.100000000000001" customHeight="1" thickTop="1" x14ac:dyDescent="0.65">
      <c r="B20" s="3"/>
      <c r="C20" s="101">
        <f ca="1">NICSACO.COM!A14*H20</f>
        <v>7000000</v>
      </c>
      <c r="D20" s="102"/>
      <c r="E20" s="102"/>
      <c r="F20" s="102"/>
      <c r="G20" s="62"/>
      <c r="H20" s="77">
        <v>1</v>
      </c>
      <c r="I20" s="79" t="s">
        <v>74</v>
      </c>
      <c r="J20" s="25"/>
      <c r="K20" s="55"/>
      <c r="L20" s="56" t="s">
        <v>73</v>
      </c>
      <c r="M20" s="57">
        <v>7</v>
      </c>
      <c r="N20" s="3"/>
      <c r="Q20" s="3"/>
      <c r="R20" s="3"/>
      <c r="S20" s="3"/>
      <c r="T20" s="3"/>
      <c r="U20" s="3"/>
      <c r="V20" s="3"/>
      <c r="W20" s="3"/>
    </row>
    <row r="21" spans="2:23" ht="20.100000000000001" customHeight="1" x14ac:dyDescent="0.65">
      <c r="B21" s="3"/>
      <c r="C21" s="101">
        <f ca="1">NICSACO.COM!A15*H21</f>
        <v>3000000</v>
      </c>
      <c r="D21" s="102"/>
      <c r="E21" s="102"/>
      <c r="F21" s="102"/>
      <c r="G21" s="62"/>
      <c r="H21" s="77">
        <v>1</v>
      </c>
      <c r="I21" s="79" t="s">
        <v>53</v>
      </c>
      <c r="J21" s="25"/>
      <c r="K21" s="55"/>
      <c r="L21" s="56" t="s">
        <v>49</v>
      </c>
      <c r="M21" s="57">
        <v>8</v>
      </c>
      <c r="N21" s="3"/>
    </row>
    <row r="22" spans="2:23" ht="20.100000000000001" customHeight="1" x14ac:dyDescent="0.65">
      <c r="B22" s="3"/>
      <c r="C22" s="101">
        <f ca="1">NICSACO.COM!A16*H22</f>
        <v>1000000</v>
      </c>
      <c r="D22" s="102"/>
      <c r="E22" s="102"/>
      <c r="F22" s="102"/>
      <c r="G22" s="62"/>
      <c r="H22" s="77">
        <v>1</v>
      </c>
      <c r="I22" s="79" t="s">
        <v>54</v>
      </c>
      <c r="J22" s="25"/>
      <c r="K22" s="55"/>
      <c r="L22" s="56" t="s">
        <v>50</v>
      </c>
      <c r="M22" s="57">
        <v>9</v>
      </c>
      <c r="N22" s="3"/>
    </row>
    <row r="23" spans="2:23" ht="20.100000000000001" customHeight="1" x14ac:dyDescent="0.65">
      <c r="B23" s="3"/>
      <c r="C23" s="101">
        <f ca="1">NICSACO.COM!A17*H23</f>
        <v>2000000</v>
      </c>
      <c r="D23" s="102"/>
      <c r="E23" s="102"/>
      <c r="F23" s="102"/>
      <c r="G23" s="62"/>
      <c r="H23" s="77">
        <v>1</v>
      </c>
      <c r="I23" s="79" t="s">
        <v>55</v>
      </c>
      <c r="J23" s="54"/>
      <c r="K23" s="58"/>
      <c r="L23" s="56" t="s">
        <v>51</v>
      </c>
      <c r="M23" s="57">
        <v>10</v>
      </c>
      <c r="N23" s="3"/>
    </row>
    <row r="24" spans="2:23" ht="20.100000000000001" customHeight="1" x14ac:dyDescent="0.65">
      <c r="B24" s="3"/>
      <c r="C24" s="101">
        <f ca="1">NICSACO.COM!A18*H24</f>
        <v>31000000</v>
      </c>
      <c r="D24" s="102"/>
      <c r="E24" s="102"/>
      <c r="F24" s="102"/>
      <c r="G24" s="62"/>
      <c r="H24" s="77">
        <v>1</v>
      </c>
      <c r="I24" s="79" t="s">
        <v>56</v>
      </c>
      <c r="J24" s="25"/>
      <c r="K24" s="55"/>
      <c r="L24" s="56" t="s">
        <v>52</v>
      </c>
      <c r="M24" s="57">
        <v>11</v>
      </c>
      <c r="N24" s="3"/>
    </row>
    <row r="25" spans="2:23" ht="20.100000000000001" customHeight="1" x14ac:dyDescent="0.65">
      <c r="B25" s="3"/>
      <c r="C25" s="101">
        <f ca="1">NICSACO.COM!A19*H25</f>
        <v>4000000</v>
      </c>
      <c r="D25" s="102"/>
      <c r="E25" s="102"/>
      <c r="F25" s="102"/>
      <c r="G25" s="62"/>
      <c r="H25" s="77">
        <v>1</v>
      </c>
      <c r="I25" s="79" t="s">
        <v>57</v>
      </c>
      <c r="J25" s="25"/>
      <c r="K25" s="55"/>
      <c r="L25" s="56" t="s">
        <v>14</v>
      </c>
      <c r="M25" s="57">
        <v>12</v>
      </c>
      <c r="N25" s="3"/>
    </row>
    <row r="26" spans="2:23" ht="20.100000000000001" customHeight="1" x14ac:dyDescent="0.65">
      <c r="B26" s="3"/>
      <c r="C26" s="101">
        <f ca="1">NICSACO.COM!A20*H26</f>
        <v>7000000</v>
      </c>
      <c r="D26" s="102"/>
      <c r="E26" s="102"/>
      <c r="F26" s="102"/>
      <c r="G26" s="62"/>
      <c r="H26" s="77">
        <v>1</v>
      </c>
      <c r="I26" s="79" t="s">
        <v>58</v>
      </c>
      <c r="J26" s="59"/>
      <c r="K26" s="58"/>
      <c r="L26" s="56" t="s">
        <v>59</v>
      </c>
      <c r="M26" s="57">
        <v>13</v>
      </c>
      <c r="N26" s="3"/>
    </row>
    <row r="27" spans="2:23" x14ac:dyDescent="0.2">
      <c r="B27" s="3"/>
      <c r="C27" s="25"/>
      <c r="D27" s="25"/>
      <c r="E27" s="25"/>
      <c r="F27" s="25"/>
      <c r="G27" s="25"/>
      <c r="H27" s="61"/>
      <c r="I27" s="25"/>
      <c r="J27" s="25"/>
      <c r="K27" s="27"/>
      <c r="L27" s="25"/>
      <c r="M27" s="61"/>
      <c r="N27" s="3"/>
    </row>
    <row r="28" spans="2:23" ht="17.25" x14ac:dyDescent="0.35">
      <c r="B28" s="3"/>
      <c r="C28" s="24" t="s">
        <v>28</v>
      </c>
      <c r="D28" s="103">
        <f ca="1">NICSACO.COM!A21</f>
        <v>145200000</v>
      </c>
      <c r="E28" s="103"/>
      <c r="F28" s="103"/>
      <c r="G28" s="103"/>
      <c r="H28" s="25"/>
      <c r="I28" s="26"/>
      <c r="J28" s="25"/>
      <c r="K28" s="27"/>
      <c r="L28" s="28" t="s">
        <v>16</v>
      </c>
      <c r="M28" s="29"/>
      <c r="N28" s="3"/>
    </row>
    <row r="29" spans="2:23" x14ac:dyDescent="0.2">
      <c r="B29" s="3"/>
      <c r="C29" s="8"/>
      <c r="D29" s="8"/>
      <c r="E29" s="8"/>
      <c r="F29" s="3"/>
      <c r="G29" s="3"/>
      <c r="H29" s="3"/>
      <c r="I29" s="3"/>
      <c r="J29" s="3"/>
      <c r="K29" s="14"/>
      <c r="L29" s="6"/>
      <c r="M29" s="9"/>
      <c r="N29" s="3"/>
    </row>
    <row r="30" spans="2:23" ht="20.100000000000001" customHeight="1" x14ac:dyDescent="0.7">
      <c r="B30" s="18"/>
      <c r="C30" s="32"/>
      <c r="D30" s="12"/>
      <c r="E30" s="80" t="s">
        <v>69</v>
      </c>
      <c r="F30" s="42"/>
      <c r="G30" s="33"/>
      <c r="H30" s="32"/>
      <c r="I30" s="32"/>
      <c r="J30" s="32"/>
      <c r="K30" s="45"/>
      <c r="L30" s="19"/>
      <c r="M30" s="32" t="s">
        <v>63</v>
      </c>
      <c r="N30" s="18"/>
    </row>
    <row r="31" spans="2:23" ht="20.100000000000001" customHeight="1" x14ac:dyDescent="0.2">
      <c r="B31" s="18"/>
      <c r="C31" s="32"/>
      <c r="D31" s="32"/>
      <c r="E31" s="80" t="s">
        <v>70</v>
      </c>
      <c r="F31" s="32"/>
      <c r="G31" s="32"/>
      <c r="H31" s="32"/>
      <c r="I31" s="32"/>
      <c r="J31" s="32"/>
      <c r="K31" s="45"/>
      <c r="L31" s="19"/>
      <c r="M31" s="32" t="s">
        <v>64</v>
      </c>
      <c r="N31" s="18"/>
    </row>
    <row r="32" spans="2:23" ht="20.100000000000001" customHeight="1" x14ac:dyDescent="0.2">
      <c r="B32" s="9"/>
      <c r="C32" s="33"/>
      <c r="D32" s="33"/>
      <c r="E32" s="33"/>
      <c r="F32" s="33"/>
      <c r="G32" s="33"/>
      <c r="H32" s="33"/>
      <c r="I32" s="33"/>
      <c r="J32" s="33"/>
      <c r="K32" s="33"/>
      <c r="L32" s="22"/>
      <c r="M32" s="33"/>
      <c r="N32" s="9"/>
    </row>
    <row r="33" spans="2:14" ht="20.100000000000001" customHeight="1" x14ac:dyDescent="0.2">
      <c r="B33" s="9"/>
      <c r="C33" s="33"/>
      <c r="D33" s="33"/>
      <c r="E33" s="33"/>
      <c r="F33" s="33"/>
      <c r="G33" s="33"/>
      <c r="H33" s="33"/>
      <c r="I33" s="33"/>
      <c r="J33" s="21" t="s">
        <v>26</v>
      </c>
      <c r="K33" s="46">
        <f ca="1">NICSACO.COM!J28</f>
        <v>5</v>
      </c>
      <c r="L33" s="22"/>
      <c r="M33" s="31" t="s">
        <v>25</v>
      </c>
      <c r="N33" s="9"/>
    </row>
    <row r="34" spans="2:14" ht="6.95" customHeight="1" x14ac:dyDescent="0.7">
      <c r="B34" s="9"/>
      <c r="C34" s="33"/>
      <c r="D34" s="33"/>
      <c r="E34" s="47"/>
      <c r="F34" s="47"/>
      <c r="G34" s="47"/>
      <c r="H34" s="47"/>
      <c r="I34" s="47"/>
      <c r="J34" s="47"/>
      <c r="K34" s="45"/>
      <c r="L34" s="22"/>
      <c r="M34" s="41"/>
      <c r="N34" s="9"/>
    </row>
    <row r="35" spans="2:14" ht="20.100000000000001" customHeight="1" x14ac:dyDescent="0.2">
      <c r="B35" s="9"/>
      <c r="C35" s="32"/>
      <c r="D35" s="32"/>
      <c r="E35" s="32"/>
      <c r="F35" s="32"/>
      <c r="G35" s="32"/>
      <c r="H35" s="32"/>
      <c r="I35" s="32"/>
      <c r="J35" s="32"/>
      <c r="K35" s="45"/>
      <c r="L35" s="19"/>
      <c r="M35" s="32" t="s">
        <v>66</v>
      </c>
      <c r="N35" s="9"/>
    </row>
    <row r="36" spans="2:14" ht="6.95" customHeight="1" x14ac:dyDescent="0.7">
      <c r="B36" s="18"/>
      <c r="C36" s="47"/>
      <c r="D36" s="47"/>
      <c r="E36" s="47"/>
      <c r="F36" s="47"/>
      <c r="G36" s="47"/>
      <c r="H36" s="47"/>
      <c r="I36" s="47"/>
      <c r="J36" s="47"/>
      <c r="K36" s="45"/>
      <c r="L36" s="47"/>
      <c r="M36" s="41"/>
      <c r="N36" s="18"/>
    </row>
    <row r="37" spans="2:14" ht="20.100000000000001" customHeight="1" x14ac:dyDescent="0.2">
      <c r="B37" s="18"/>
      <c r="C37" s="32"/>
      <c r="D37" s="32"/>
      <c r="E37" s="32"/>
      <c r="F37" s="32"/>
      <c r="G37" s="32"/>
      <c r="H37" s="32"/>
      <c r="I37" s="32"/>
      <c r="J37" s="32"/>
      <c r="K37" s="45"/>
      <c r="L37" s="19"/>
      <c r="M37" s="30" t="s">
        <v>27</v>
      </c>
      <c r="N37" s="18"/>
    </row>
    <row r="38" spans="2:14" s="20" customFormat="1" ht="20.100000000000001" customHeight="1" x14ac:dyDescent="0.7">
      <c r="B38" s="3"/>
      <c r="C38" s="47"/>
      <c r="D38" s="47"/>
      <c r="E38" s="47"/>
      <c r="F38" s="47"/>
      <c r="G38" s="47"/>
      <c r="H38" s="47"/>
      <c r="I38" s="47"/>
      <c r="J38" s="47"/>
      <c r="K38" s="45"/>
      <c r="L38" s="47"/>
      <c r="M38" s="30" t="s">
        <v>30</v>
      </c>
      <c r="N38" s="3"/>
    </row>
    <row r="39" spans="2:14" s="23" customFormat="1" ht="20.100000000000001" customHeight="1" x14ac:dyDescent="0.7">
      <c r="B39" s="3"/>
      <c r="C39" s="47"/>
      <c r="D39" s="47"/>
      <c r="E39" s="47"/>
      <c r="F39" s="47"/>
      <c r="G39" s="47"/>
      <c r="H39" s="47"/>
      <c r="I39" s="47"/>
      <c r="J39" s="47"/>
      <c r="K39" s="45"/>
      <c r="L39" s="47"/>
      <c r="M39" s="30" t="s">
        <v>65</v>
      </c>
      <c r="N39" s="3"/>
    </row>
    <row r="40" spans="2:14" s="23" customFormat="1" ht="20.100000000000001" customHeight="1" x14ac:dyDescent="0.7">
      <c r="B40" s="3"/>
      <c r="C40" s="47"/>
      <c r="D40" s="47"/>
      <c r="E40" s="47"/>
      <c r="F40" s="47"/>
      <c r="G40" s="47"/>
      <c r="H40" s="47"/>
      <c r="I40" s="47"/>
      <c r="J40" s="47"/>
      <c r="K40" s="45"/>
      <c r="L40" s="47"/>
      <c r="M40" s="30"/>
      <c r="N40" s="3"/>
    </row>
    <row r="41" spans="2:14" s="23" customFormat="1" ht="22.5" customHeight="1" x14ac:dyDescent="0.2">
      <c r="B41" s="3"/>
      <c r="C41" s="3"/>
      <c r="D41" s="52" t="s">
        <v>31</v>
      </c>
      <c r="E41" s="3"/>
      <c r="F41" s="3"/>
      <c r="G41" s="3"/>
      <c r="H41" s="3"/>
      <c r="I41" s="3"/>
      <c r="J41" s="3"/>
      <c r="K41" s="14"/>
      <c r="L41" s="6"/>
      <c r="M41" s="30"/>
      <c r="N41" s="3"/>
    </row>
    <row r="42" spans="2:14" s="23" customFormat="1" ht="22.5" customHeight="1" x14ac:dyDescent="0.2">
      <c r="B42" s="3"/>
      <c r="C42" s="3"/>
      <c r="D42" s="3"/>
      <c r="E42" s="3"/>
      <c r="F42" s="3"/>
      <c r="G42" s="3"/>
      <c r="H42" s="3"/>
      <c r="I42" s="73"/>
      <c r="J42" s="74"/>
      <c r="K42" s="74"/>
      <c r="L42" s="75" t="s">
        <v>38</v>
      </c>
      <c r="M42" s="76"/>
      <c r="N42" s="3"/>
    </row>
    <row r="43" spans="2:14" s="23" customFormat="1" ht="22.5" customHeight="1" x14ac:dyDescent="0.25">
      <c r="B43" s="3"/>
      <c r="C43" s="3"/>
      <c r="D43" s="10"/>
      <c r="E43" s="10"/>
      <c r="F43" s="3"/>
      <c r="G43" s="70"/>
      <c r="H43" s="71"/>
      <c r="I43" s="6"/>
      <c r="J43" s="3"/>
      <c r="K43" s="14"/>
      <c r="L43" s="6"/>
      <c r="M43" s="4"/>
      <c r="N43" s="3"/>
    </row>
    <row r="44" spans="2:14" s="20" customFormat="1" ht="22.5" customHeight="1" x14ac:dyDescent="0.2">
      <c r="B44"/>
      <c r="C44"/>
      <c r="D44"/>
      <c r="E44"/>
      <c r="F44"/>
      <c r="G44"/>
      <c r="H44"/>
      <c r="I44"/>
      <c r="J44"/>
      <c r="K44" s="15"/>
      <c r="L44"/>
      <c r="M44" s="1"/>
      <c r="N44"/>
    </row>
    <row r="45" spans="2:14" ht="6.95" customHeight="1" x14ac:dyDescent="0.2">
      <c r="L45" s="5"/>
    </row>
    <row r="46" spans="2:14" ht="15" customHeight="1" x14ac:dyDescent="0.2"/>
    <row r="47" spans="2:14" ht="15" customHeight="1" x14ac:dyDescent="0.2"/>
    <row r="48" spans="2:14" ht="15" customHeight="1" x14ac:dyDescent="0.2"/>
    <row r="52" spans="11:11" x14ac:dyDescent="0.2">
      <c r="K52" s="72"/>
    </row>
  </sheetData>
  <sheetProtection algorithmName="SHA-512" hashValue="LP5gt/XffvoEA84UN1+1nO/hnpvX45QlO21Mpw3C22pgJSQWcKyxmwD1nH+Tb+ZSC0sWFYCfgfemRPX/anVo6g==" saltValue="4QdJGIfsT8wXi67ZUv9w8g==" spinCount="100000" sheet="1" objects="1" scenarios="1"/>
  <protectedRanges>
    <protectedRange sqref="R5 S9 S12 S15 S18 V6 V9 V12 V15 H14:H26 E30:E31" name="Range3"/>
    <protectedRange sqref="S9 S12 S15 V12 V15 R5" name="Range1"/>
    <protectedRange sqref="S9 S12 S15 V12 V15 R5 H14:H26" name="Range2"/>
  </protectedRanges>
  <mergeCells count="18">
    <mergeCell ref="C14:F14"/>
    <mergeCell ref="C15:F15"/>
    <mergeCell ref="C16:F16"/>
    <mergeCell ref="C17:F17"/>
    <mergeCell ref="C21:F21"/>
    <mergeCell ref="C18:F18"/>
    <mergeCell ref="C19:F19"/>
    <mergeCell ref="C20:F20"/>
    <mergeCell ref="D28:G28"/>
    <mergeCell ref="C23:F23"/>
    <mergeCell ref="C24:F24"/>
    <mergeCell ref="C25:F25"/>
    <mergeCell ref="C26:F26"/>
    <mergeCell ref="I18:L18"/>
    <mergeCell ref="I15:L15"/>
    <mergeCell ref="I16:L16"/>
    <mergeCell ref="I17:L17"/>
    <mergeCell ref="C22:F22"/>
  </mergeCells>
  <hyperlinks>
    <hyperlink ref="L42:M42" r:id="rId1" display="nicsaco.com"/>
    <hyperlink ref="L42" r:id="rId2"/>
  </hyperlinks>
  <pageMargins left="0.7" right="0.7" top="0.75" bottom="0.75" header="0.3" footer="0.3"/>
  <pageSetup paperSize="9" scale="89" fitToHeight="0" orientation="portrait" r:id="rId3"/>
  <drawing r:id="rId4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NICSACO.COM!$E$22:$E$29</xm:f>
          </x14:formula1>
          <xm:sqref>V12</xm:sqref>
        </x14:dataValidation>
        <x14:dataValidation type="list" allowBlank="1" showInputMessage="1" showErrorMessage="1">
          <x14:formula1>
            <xm:f>NICSACO.COM!$C$22:$C$26</xm:f>
          </x14:formula1>
          <xm:sqref>V15</xm:sqref>
        </x14:dataValidation>
        <x14:dataValidation type="list" allowBlank="1" showInputMessage="1" showErrorMessage="1">
          <x14:formula1>
            <xm:f>NICSACO.COM!$H$2:$H$3</xm:f>
          </x14:formula1>
          <xm:sqref>H14:H26</xm:sqref>
        </x14:dataValidation>
        <x14:dataValidation type="list" allowBlank="1" showInputMessage="1" showErrorMessage="1">
          <x14:formula1>
            <xm:f>NICSACO.COM!$I$29:$I$30</xm:f>
          </x14:formula1>
          <xm:sqref>E30:E31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workbookViewId="0">
      <selection sqref="A1:XFD1048576"/>
    </sheetView>
  </sheetViews>
  <sheetFormatPr defaultRowHeight="12.75" x14ac:dyDescent="0.2"/>
  <cols>
    <col min="1" max="1" width="19.7109375" style="85" customWidth="1"/>
    <col min="2" max="2" width="9.140625" style="87"/>
    <col min="3" max="3" width="11.140625" style="85" bestFit="1" customWidth="1"/>
    <col min="4" max="4" width="12.5703125" style="85" customWidth="1"/>
    <col min="5" max="5" width="17.140625" style="85" customWidth="1"/>
    <col min="6" max="8" width="9.140625" style="85"/>
    <col min="9" max="9" width="12.7109375" style="85" bestFit="1" customWidth="1"/>
    <col min="10" max="16384" width="9.140625" style="85"/>
  </cols>
  <sheetData>
    <row r="2" spans="1:11" x14ac:dyDescent="0.2">
      <c r="H2" s="85">
        <v>1</v>
      </c>
    </row>
    <row r="3" spans="1:11" x14ac:dyDescent="0.2">
      <c r="A3" s="91">
        <f ca="1">TODAY()</f>
        <v>44160</v>
      </c>
      <c r="B3" s="92">
        <v>44531</v>
      </c>
      <c r="C3" s="85">
        <f ca="1">B3-A3</f>
        <v>371</v>
      </c>
      <c r="D3" s="85">
        <f ca="1">IF(C3&gt;0,1,0)</f>
        <v>1</v>
      </c>
      <c r="E3" s="85">
        <f>PROGRAMMING!S9</f>
        <v>36</v>
      </c>
      <c r="F3" s="86">
        <f ca="1">E3*1.2*D3</f>
        <v>43.199999999999996</v>
      </c>
      <c r="H3" s="85">
        <v>0</v>
      </c>
    </row>
    <row r="4" spans="1:11" x14ac:dyDescent="0.2">
      <c r="C4" s="85" t="str">
        <f>PROGRAMMING!E30</f>
        <v>بله</v>
      </c>
      <c r="D4" s="85">
        <f>PROGRAMMING!V6</f>
        <v>2</v>
      </c>
      <c r="E4" s="85">
        <f>PROGRAMMING!S12</f>
        <v>20</v>
      </c>
      <c r="F4" s="86">
        <f ca="1">E4*D3</f>
        <v>20</v>
      </c>
    </row>
    <row r="5" spans="1:11" x14ac:dyDescent="0.2">
      <c r="C5" s="85" t="str">
        <f>PROGRAMMING!E31</f>
        <v>خیر</v>
      </c>
      <c r="D5" s="85">
        <f>PROGRAMMING!V9</f>
        <v>1</v>
      </c>
      <c r="E5" s="85">
        <f>PROGRAMMING!S15</f>
        <v>3</v>
      </c>
      <c r="F5" s="86">
        <f ca="1">E5*1.2*D3</f>
        <v>3.5999999999999996</v>
      </c>
    </row>
    <row r="6" spans="1:11" x14ac:dyDescent="0.2">
      <c r="F6" s="85">
        <f ca="1">SUM(F3:F5)</f>
        <v>66.8</v>
      </c>
    </row>
    <row r="7" spans="1:11" x14ac:dyDescent="0.2">
      <c r="J7" s="85">
        <v>1</v>
      </c>
      <c r="K7" s="85">
        <v>5</v>
      </c>
    </row>
    <row r="8" spans="1:11" x14ac:dyDescent="0.2">
      <c r="A8" s="93">
        <f ca="1">B8*$I$21*C8</f>
        <v>9000000</v>
      </c>
      <c r="B8" s="87">
        <f ca="1">INT(0.2*L+0.5)*C8</f>
        <v>9</v>
      </c>
      <c r="C8" s="85">
        <f>PROGRAMMING!H14</f>
        <v>1</v>
      </c>
      <c r="D8" s="88" t="s">
        <v>43</v>
      </c>
      <c r="F8" s="85">
        <v>1</v>
      </c>
      <c r="J8" s="85">
        <v>30</v>
      </c>
      <c r="K8" s="85">
        <v>5</v>
      </c>
    </row>
    <row r="9" spans="1:11" x14ac:dyDescent="0.2">
      <c r="A9" s="93">
        <f ca="1">B9*$I$21*C9</f>
        <v>25000000</v>
      </c>
      <c r="B9" s="87">
        <f ca="1">INT((0.15*L+0.5)+INT(0.45*L+0.5))*C9</f>
        <v>25</v>
      </c>
      <c r="C9" s="85">
        <f>PROGRAMMING!H15</f>
        <v>1</v>
      </c>
      <c r="D9" s="89" t="s">
        <v>41</v>
      </c>
      <c r="F9" s="85">
        <v>2</v>
      </c>
      <c r="J9" s="85">
        <v>70</v>
      </c>
      <c r="K9" s="85">
        <v>7</v>
      </c>
    </row>
    <row r="10" spans="1:11" x14ac:dyDescent="0.2">
      <c r="A10" s="93">
        <f ca="1">B10*$I$21*1*C10</f>
        <v>16000000</v>
      </c>
      <c r="B10" s="87">
        <f ca="1">INT(MAX(0.064*(I+4*V+5*L),(0.064*(I+4*V+5*L)*(D4-2)/2))+0.5)*C10</f>
        <v>16</v>
      </c>
      <c r="C10" s="85">
        <f>PROGRAMMING!H16</f>
        <v>1</v>
      </c>
      <c r="D10" s="89" t="s">
        <v>42</v>
      </c>
      <c r="F10" s="85">
        <v>3</v>
      </c>
      <c r="J10" s="85">
        <v>110</v>
      </c>
      <c r="K10" s="85">
        <v>10</v>
      </c>
    </row>
    <row r="11" spans="1:11" x14ac:dyDescent="0.2">
      <c r="A11" s="93">
        <f ca="1">B11*$I$21*C11</f>
        <v>14000000</v>
      </c>
      <c r="B11" s="87">
        <f ca="1">INT(MAX(14*MAX(1,(D4-2)/2),0.2*L)+0.5)*C11</f>
        <v>14</v>
      </c>
      <c r="C11" s="85">
        <f>PROGRAMMING!H17</f>
        <v>1</v>
      </c>
      <c r="D11" s="89" t="s">
        <v>45</v>
      </c>
      <c r="F11" s="85">
        <v>4</v>
      </c>
      <c r="J11" s="85">
        <v>150</v>
      </c>
      <c r="K11" s="85">
        <v>15</v>
      </c>
    </row>
    <row r="12" spans="1:11" x14ac:dyDescent="0.2">
      <c r="A12" s="93">
        <f ca="1">B12*$I$21*C12</f>
        <v>7000000</v>
      </c>
      <c r="B12" s="87">
        <f ca="1">INT(MAX(7*MAX(1,(D5/2)),0.1*L)+0.5)*C12</f>
        <v>7</v>
      </c>
      <c r="C12" s="85">
        <f>PROGRAMMING!H18</f>
        <v>1</v>
      </c>
      <c r="D12" s="89" t="s">
        <v>46</v>
      </c>
      <c r="F12" s="85">
        <v>5</v>
      </c>
      <c r="J12" s="85">
        <v>200</v>
      </c>
      <c r="K12" s="85">
        <v>17</v>
      </c>
    </row>
    <row r="13" spans="1:11" x14ac:dyDescent="0.2">
      <c r="A13" s="93">
        <f ca="1">B13*$I$21*C13</f>
        <v>6000000</v>
      </c>
      <c r="B13" s="87">
        <f ca="1">INT(MAX(6,0.1*L)+0.5)*C13</f>
        <v>6</v>
      </c>
      <c r="C13" s="85">
        <f>PROGRAMMING!H19</f>
        <v>1</v>
      </c>
      <c r="D13" s="90" t="s">
        <v>47</v>
      </c>
      <c r="F13" s="85">
        <v>6</v>
      </c>
      <c r="J13" s="85">
        <v>250</v>
      </c>
      <c r="K13" s="85">
        <v>20</v>
      </c>
    </row>
    <row r="14" spans="1:11" x14ac:dyDescent="0.2">
      <c r="A14" s="93">
        <f ca="1">B14*$I$21*C14</f>
        <v>7000000</v>
      </c>
      <c r="B14" s="87">
        <f ca="1">INT(MAX(7,0.1*L)+0.5)*C14</f>
        <v>7</v>
      </c>
      <c r="C14" s="85">
        <f>PROGRAMMING!H20</f>
        <v>1</v>
      </c>
      <c r="D14" s="85" t="s">
        <v>75</v>
      </c>
      <c r="J14" s="85">
        <v>300</v>
      </c>
      <c r="K14" s="85">
        <v>23</v>
      </c>
    </row>
    <row r="15" spans="1:11" x14ac:dyDescent="0.2">
      <c r="A15" s="93">
        <f ca="1">B15*$I$21*C15</f>
        <v>3000000</v>
      </c>
      <c r="B15" s="87">
        <f ca="1">INT(((0.15*I)+0.5))*C15</f>
        <v>3</v>
      </c>
      <c r="C15" s="85">
        <f>PROGRAMMING!H21</f>
        <v>1</v>
      </c>
      <c r="D15" s="90" t="s">
        <v>53</v>
      </c>
      <c r="F15" s="85">
        <v>7</v>
      </c>
      <c r="J15" s="85">
        <v>450</v>
      </c>
      <c r="K15" s="85">
        <v>27</v>
      </c>
    </row>
    <row r="16" spans="1:11" x14ac:dyDescent="0.2">
      <c r="A16" s="93">
        <f ca="1">B16*$I$21*C16</f>
        <v>1000000</v>
      </c>
      <c r="B16" s="87">
        <f ca="1">INT(((0.2*V*C16)+0.5))</f>
        <v>1</v>
      </c>
      <c r="C16" s="85">
        <f>PROGRAMMING!H22</f>
        <v>1</v>
      </c>
      <c r="D16" s="90" t="s">
        <v>54</v>
      </c>
      <c r="F16" s="85">
        <v>8</v>
      </c>
      <c r="J16" s="85">
        <v>600</v>
      </c>
      <c r="K16" s="85">
        <v>30</v>
      </c>
    </row>
    <row r="17" spans="1:13" x14ac:dyDescent="0.2">
      <c r="A17" s="93">
        <f ca="1">B17*$I$21*F31*C31*C17</f>
        <v>2000000</v>
      </c>
      <c r="B17" s="87">
        <f ca="1">INT(((0.2*L+0.2*(I+V))/6)+0.5)*C17*F31</f>
        <v>2</v>
      </c>
      <c r="C17" s="85">
        <f>PROGRAMMING!H23</f>
        <v>1</v>
      </c>
      <c r="D17" s="90" t="s">
        <v>55</v>
      </c>
      <c r="F17" s="85">
        <v>9</v>
      </c>
      <c r="J17" s="85">
        <v>800</v>
      </c>
      <c r="K17" s="85">
        <v>38</v>
      </c>
    </row>
    <row r="18" spans="1:13" x14ac:dyDescent="0.2">
      <c r="A18" s="93">
        <f ca="1">B18*$I$21*C18</f>
        <v>31000000</v>
      </c>
      <c r="B18" s="87">
        <f ca="1">INT((0.125*(I+4*V+5*L))+0.5)*C18*F31</f>
        <v>31</v>
      </c>
      <c r="C18" s="85">
        <f>PROGRAMMING!H24</f>
        <v>1</v>
      </c>
      <c r="D18" s="90" t="s">
        <v>56</v>
      </c>
      <c r="F18" s="85">
        <v>10</v>
      </c>
      <c r="J18" s="85">
        <v>1000</v>
      </c>
      <c r="K18" s="85">
        <v>43</v>
      </c>
    </row>
    <row r="19" spans="1:13" x14ac:dyDescent="0.2">
      <c r="A19" s="93">
        <f ca="1">B19*$I$21*C19</f>
        <v>4000000</v>
      </c>
      <c r="B19" s="87">
        <f ca="1">INT((0.17*(I+V))+0.5)*C19</f>
        <v>4</v>
      </c>
      <c r="C19" s="85">
        <f>PROGRAMMING!H25</f>
        <v>1</v>
      </c>
      <c r="D19" s="90" t="s">
        <v>57</v>
      </c>
      <c r="F19" s="85">
        <v>11</v>
      </c>
      <c r="J19" s="85">
        <v>1200</v>
      </c>
      <c r="K19" s="85">
        <v>50</v>
      </c>
    </row>
    <row r="20" spans="1:13" x14ac:dyDescent="0.2">
      <c r="A20" s="93">
        <f ca="1">B20*$I$21*F31*C20</f>
        <v>7000000</v>
      </c>
      <c r="B20" s="87">
        <f ca="1">INT(MAX(7,0.1*L)+0.5)*C20</f>
        <v>7</v>
      </c>
      <c r="C20" s="85">
        <f>PROGRAMMING!H26</f>
        <v>1</v>
      </c>
      <c r="D20" s="90" t="s">
        <v>58</v>
      </c>
      <c r="F20" s="85">
        <v>12</v>
      </c>
      <c r="J20" s="85">
        <v>1600</v>
      </c>
      <c r="K20" s="85">
        <v>55</v>
      </c>
    </row>
    <row r="21" spans="1:13" x14ac:dyDescent="0.2">
      <c r="A21" s="93">
        <f ca="1">SUM(A8:A20)*(1+IF(C4="بله",0.1,0)+IF(C5="بله",0.2,0))*K30</f>
        <v>145200000</v>
      </c>
      <c r="I21" s="94">
        <v>1000000</v>
      </c>
      <c r="J21" s="85">
        <v>2000</v>
      </c>
      <c r="K21" s="85">
        <v>60</v>
      </c>
    </row>
    <row r="22" spans="1:13" x14ac:dyDescent="0.2">
      <c r="C22" s="85" t="s">
        <v>19</v>
      </c>
      <c r="D22" s="87">
        <v>1</v>
      </c>
      <c r="E22" s="85" t="s">
        <v>7</v>
      </c>
      <c r="F22" s="95">
        <v>1</v>
      </c>
      <c r="I22" s="87">
        <f ca="1">MIN(FIXED(LOG((I+L+V)^3)+0.5,0),FIXED((L+V+I)/50+0.5,0))</f>
        <v>2</v>
      </c>
      <c r="J22" s="85">
        <v>2400</v>
      </c>
      <c r="K22" s="85">
        <v>65</v>
      </c>
    </row>
    <row r="23" spans="1:13" x14ac:dyDescent="0.2">
      <c r="C23" s="85" t="s">
        <v>20</v>
      </c>
      <c r="D23" s="87">
        <v>1.5</v>
      </c>
      <c r="E23" s="85" t="s">
        <v>8</v>
      </c>
      <c r="F23" s="95">
        <v>1.5</v>
      </c>
      <c r="I23" s="87" t="str">
        <f ca="1">FIXED((L/2+V+I)/20+0.5,0)</f>
        <v>3</v>
      </c>
      <c r="J23" s="85">
        <v>3000</v>
      </c>
      <c r="K23" s="85">
        <v>70</v>
      </c>
    </row>
    <row r="24" spans="1:13" x14ac:dyDescent="0.2">
      <c r="C24" s="85" t="s">
        <v>21</v>
      </c>
      <c r="D24" s="87">
        <v>2</v>
      </c>
      <c r="E24" s="85" t="s">
        <v>9</v>
      </c>
      <c r="F24" s="95">
        <v>1.5</v>
      </c>
      <c r="I24" s="86">
        <f ca="1">MIN(MAX(J27,FIXED(F6/20,0)),(MAX(J27,FIXED(F6/20,0))+J27)/2)</f>
        <v>5</v>
      </c>
      <c r="J24" s="85">
        <v>3500</v>
      </c>
      <c r="K24" s="85">
        <v>75</v>
      </c>
    </row>
    <row r="25" spans="1:13" x14ac:dyDescent="0.2">
      <c r="C25" s="85" t="s">
        <v>22</v>
      </c>
      <c r="D25" s="87">
        <v>3</v>
      </c>
      <c r="E25" s="85" t="s">
        <v>10</v>
      </c>
      <c r="F25" s="95">
        <v>1.5</v>
      </c>
      <c r="J25" s="85">
        <v>4000</v>
      </c>
      <c r="K25" s="85">
        <v>80</v>
      </c>
    </row>
    <row r="26" spans="1:13" x14ac:dyDescent="0.2">
      <c r="C26" s="85" t="s">
        <v>23</v>
      </c>
      <c r="D26" s="87">
        <v>3</v>
      </c>
      <c r="E26" s="85" t="s">
        <v>11</v>
      </c>
      <c r="F26" s="95">
        <v>2</v>
      </c>
    </row>
    <row r="27" spans="1:13" x14ac:dyDescent="0.2">
      <c r="E27" s="85" t="s">
        <v>12</v>
      </c>
      <c r="F27" s="95">
        <v>2</v>
      </c>
      <c r="J27" s="85">
        <f ca="1">LOOKUP(F6,J7:J25,K7:K25)</f>
        <v>5</v>
      </c>
      <c r="K27" s="85">
        <f>PROGRAMMING!S18</f>
        <v>0</v>
      </c>
    </row>
    <row r="28" spans="1:13" x14ac:dyDescent="0.2">
      <c r="E28" s="85" t="s">
        <v>13</v>
      </c>
      <c r="F28" s="95">
        <v>2</v>
      </c>
      <c r="J28" s="85">
        <f ca="1">IF(K27=0,I24,IF(K27&gt;I24,IF(K27&gt;I24*2,I24*2,K27),IF(K27&lt;0.6*I24,0.6*I24,K27)))</f>
        <v>5</v>
      </c>
    </row>
    <row r="29" spans="1:13" x14ac:dyDescent="0.2">
      <c r="E29" s="85" t="s">
        <v>24</v>
      </c>
      <c r="F29" s="95">
        <v>1.5</v>
      </c>
      <c r="I29" s="85" t="s">
        <v>69</v>
      </c>
    </row>
    <row r="30" spans="1:13" x14ac:dyDescent="0.2">
      <c r="I30" s="85" t="s">
        <v>70</v>
      </c>
      <c r="K30" s="85">
        <f ca="1">IF(I24&gt;=J28,(1+0.25*(I24-J28)/I24/0.4),(1-MIN(0.1,(K27-I24)/I24*0.1)))</f>
        <v>1</v>
      </c>
      <c r="M30" s="85" t="s">
        <v>72</v>
      </c>
    </row>
    <row r="31" spans="1:13" x14ac:dyDescent="0.2">
      <c r="C31" s="85">
        <f>VLOOKUP(PROGRAMMING!V15,NICSACO.COM!C22:D26,2,FALSE)</f>
        <v>1</v>
      </c>
      <c r="F31" s="85">
        <f>VLOOKUP(PROGRAMMING!V12,NICSACO.COM!E22:F29,2,FALSE)</f>
        <v>1</v>
      </c>
    </row>
    <row r="32" spans="1:13" x14ac:dyDescent="0.2">
      <c r="B32" s="96"/>
      <c r="C32" s="96"/>
    </row>
    <row r="33" spans="2:4" x14ac:dyDescent="0.2">
      <c r="B33" s="95"/>
      <c r="C33" s="91"/>
      <c r="D33" s="91"/>
    </row>
    <row r="34" spans="2:4" x14ac:dyDescent="0.2">
      <c r="B34" s="87" t="s">
        <v>33</v>
      </c>
    </row>
    <row r="35" spans="2:4" x14ac:dyDescent="0.2">
      <c r="B35" s="97" t="s">
        <v>34</v>
      </c>
    </row>
  </sheetData>
  <sheetProtection algorithmName="SHA-512" hashValue="miFF+W7+QAHU0CA7OzvC0PG3tKHDHf/Q+w3hggthyQUEmvttvIIAV2ZsQtRFjwbXZMRtV1B+xJi6Lx3quOCJuw==" saltValue="6BgO6Iba0IGEGOMiRSbvmQ==" spinCount="100000" sheet="1" objects="1" scenarios="1" selectLockedCells="1" selectUnlockedCells="1"/>
  <hyperlinks>
    <hyperlink ref="B35" r:id="rId1" display="WWW.NICSACO.COM 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PROGRAMMING</vt:lpstr>
      <vt:lpstr>NICSACO.COM</vt:lpstr>
      <vt:lpstr>I</vt:lpstr>
      <vt:lpstr>L</vt:lpstr>
      <vt:lpstr>PROGRAMMING!Print_Area</vt:lpstr>
      <vt:lpstr>V</vt:lpstr>
    </vt:vector>
  </TitlesOfParts>
  <Company>Free 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Mohsen Ashouri</dc:creator>
  <cp:lastModifiedBy>Simin Ansari</cp:lastModifiedBy>
  <cp:lastPrinted>2020-11-25T12:56:45Z</cp:lastPrinted>
  <dcterms:created xsi:type="dcterms:W3CDTF">2000-10-24T04:37:10Z</dcterms:created>
  <dcterms:modified xsi:type="dcterms:W3CDTF">2020-11-25T14:28:56Z</dcterms:modified>
</cp:coreProperties>
</file>