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Archives\1-Nicsa service site\Website\02-nicsa website\Content -NICSA\download page\"/>
    </mc:Choice>
  </mc:AlternateContent>
  <bookViews>
    <workbookView xWindow="0" yWindow="0" windowWidth="28800" windowHeight="12330" tabRatio="601"/>
  </bookViews>
  <sheets>
    <sheet name="PROGRAMMING" sheetId="21" r:id="rId1"/>
    <sheet name="NICSACO.COM" sheetId="17" state="hidden" r:id="rId2"/>
  </sheets>
  <externalReferences>
    <externalReference r:id="rId3"/>
  </externalReferences>
  <definedNames>
    <definedName name="H">[1]Electrical!$B$5</definedName>
    <definedName name="I">NICSACO.COM!$F$4</definedName>
    <definedName name="L">NICSACO.COM!$F$3</definedName>
    <definedName name="_xlnm.Print_Area" localSheetId="0">PROGRAMMING!$B$1:$N$44</definedName>
    <definedName name="V">NICSACO.COM!$F$5</definedName>
  </definedNames>
  <calcPr calcId="162913"/>
</workbook>
</file>

<file path=xl/calcChain.xml><?xml version="1.0" encoding="utf-8"?>
<calcChain xmlns="http://schemas.openxmlformats.org/spreadsheetml/2006/main">
  <c r="A3" i="17" l="1"/>
  <c r="E29" i="21" l="1"/>
  <c r="H29" i="21"/>
  <c r="J29" i="21"/>
  <c r="E31" i="21" l="1"/>
  <c r="C3" i="17"/>
  <c r="D3" i="17" s="1"/>
  <c r="C9" i="17"/>
  <c r="C10" i="17"/>
  <c r="C11" i="17"/>
  <c r="C12" i="17"/>
  <c r="C13" i="17"/>
  <c r="C14" i="17"/>
  <c r="C15" i="17"/>
  <c r="C16" i="17"/>
  <c r="C17" i="17"/>
  <c r="C18" i="17"/>
  <c r="C19" i="17"/>
  <c r="C8" i="17"/>
  <c r="L6" i="21"/>
  <c r="C31" i="17"/>
  <c r="F31" i="17"/>
  <c r="G31" i="21"/>
  <c r="E4" i="17"/>
  <c r="E5" i="17"/>
  <c r="E3" i="17"/>
  <c r="C2" i="21"/>
  <c r="C3" i="21" l="1"/>
  <c r="D3" i="21"/>
  <c r="F3" i="17"/>
  <c r="F5" i="17"/>
  <c r="F4" i="17"/>
  <c r="C7" i="21"/>
  <c r="B10" i="17" l="1"/>
  <c r="A10" i="17" s="1"/>
  <c r="C16" i="21" s="1"/>
  <c r="B17" i="17"/>
  <c r="A17" i="17" s="1"/>
  <c r="C23" i="21" s="1"/>
  <c r="I22" i="17"/>
  <c r="B9" i="17"/>
  <c r="A9" i="17" s="1"/>
  <c r="C15" i="21" s="1"/>
  <c r="B11" i="17"/>
  <c r="A11" i="17" s="1"/>
  <c r="C17" i="21" s="1"/>
  <c r="B12" i="17"/>
  <c r="A12" i="17" s="1"/>
  <c r="C18" i="21" s="1"/>
  <c r="F6" i="17"/>
  <c r="I23" i="17"/>
  <c r="B8" i="17"/>
  <c r="A8" i="17" s="1"/>
  <c r="C14" i="21" s="1"/>
  <c r="B15" i="17"/>
  <c r="A15" i="17" s="1"/>
  <c r="C21" i="21" s="1"/>
  <c r="B14" i="17"/>
  <c r="A14" i="17" s="1"/>
  <c r="C20" i="21" s="1"/>
  <c r="B13" i="17"/>
  <c r="A13" i="17" s="1"/>
  <c r="C19" i="21" s="1"/>
  <c r="B16" i="17" l="1"/>
  <c r="A16" i="17" s="1"/>
  <c r="C22" i="21" s="1"/>
  <c r="K22" i="21"/>
  <c r="J27" i="17"/>
  <c r="I24" i="17" s="1"/>
  <c r="K34" i="21" s="1"/>
  <c r="K25" i="21"/>
  <c r="B19" i="17"/>
  <c r="A19" i="17" s="1"/>
  <c r="C25" i="21" s="1"/>
  <c r="B18" i="17"/>
  <c r="A18" i="17" s="1"/>
  <c r="C24" i="21" s="1"/>
  <c r="A20" i="17" l="1"/>
  <c r="D27" i="21" s="1"/>
</calcChain>
</file>

<file path=xl/sharedStrings.xml><?xml version="1.0" encoding="utf-8"?>
<sst xmlns="http://schemas.openxmlformats.org/spreadsheetml/2006/main" count="72" uniqueCount="70">
  <si>
    <t>موضوع : پیشنهاد قیمت هزینه برنامه نویسی و کمک در راه اندازی</t>
  </si>
  <si>
    <t xml:space="preserve">بادرود  </t>
  </si>
  <si>
    <t>با توجه به اطلاعات دریافت شده بدینوسیله پیشنهاد خدمات مهندسی وبرنامه نویسی به شرح زیر تعیین می گردد</t>
  </si>
  <si>
    <t>برنامه نویسی PLC با نرم افزار اصلی</t>
  </si>
  <si>
    <t xml:space="preserve">برنامه نویسی مانیتورینگ با نرم افزار اصلی </t>
  </si>
  <si>
    <t>تهیه مدرک I/O لیست</t>
  </si>
  <si>
    <t>تهیه مدرک شرح فرایند</t>
  </si>
  <si>
    <t>تهیه مدرک فلسفه کنترل</t>
  </si>
  <si>
    <t>طراحی وایرینگ کلیه تابلو های کنترل</t>
  </si>
  <si>
    <t xml:space="preserve">کمک در راه اندازی </t>
  </si>
  <si>
    <t>کالیبره کردن ابزار دقیق</t>
  </si>
  <si>
    <t>مدرک بهره برداری از سیستم کنترل</t>
  </si>
  <si>
    <t>ردیف</t>
  </si>
  <si>
    <t>شرح خدمات</t>
  </si>
  <si>
    <t>بدیهی است آن شرکت بنا به مصالح خود می تواند برخی از موارد را  با هماهنگی حذف نماید</t>
  </si>
  <si>
    <t>تاریخ :</t>
  </si>
  <si>
    <t>شماره :</t>
  </si>
  <si>
    <t>لطفا اطلاعات زیر را وارد کنید :</t>
  </si>
  <si>
    <t>تعداد موتور</t>
  </si>
  <si>
    <t>مجموعه نرم افزار برنامه نویسی و مانیتورینگ منطبق برسیستم</t>
  </si>
  <si>
    <t>زیمنس</t>
  </si>
  <si>
    <t>اشنایدر</t>
  </si>
  <si>
    <t>امرون</t>
  </si>
  <si>
    <t>ال جی</t>
  </si>
  <si>
    <t>آلن برادلی</t>
  </si>
  <si>
    <t>هیما</t>
  </si>
  <si>
    <t>فوجی</t>
  </si>
  <si>
    <t>ترمینال دیاگرام</t>
  </si>
  <si>
    <t>لیست کابل کنترل</t>
  </si>
  <si>
    <t>نفر</t>
  </si>
  <si>
    <t xml:space="preserve">آموزش پرسنل حداکثر </t>
  </si>
  <si>
    <t>نفر روز</t>
  </si>
  <si>
    <t xml:space="preserve">هزینه انجام </t>
  </si>
  <si>
    <t>جمع کل</t>
  </si>
  <si>
    <t>برند سیستم کنترل</t>
  </si>
  <si>
    <t>برند HMI</t>
  </si>
  <si>
    <t>WINCC</t>
  </si>
  <si>
    <t>PCS7</t>
  </si>
  <si>
    <t>CITECT</t>
  </si>
  <si>
    <t>HIGH LIGHT</t>
  </si>
  <si>
    <t>ZENON</t>
  </si>
  <si>
    <t xml:space="preserve">و </t>
  </si>
  <si>
    <t>میتسوبیشی</t>
  </si>
  <si>
    <t>مدت زمان انجام این خدمات</t>
  </si>
  <si>
    <t>روز  پس از دریافت پیش پرداخت می باشد .</t>
  </si>
  <si>
    <t>نحوه پرداخت :30 % بعنوان پیش پرداخت  الباقی براساس پیشرفت خدمات ودر حداکثر سه مرحله دریافت می گردد</t>
  </si>
  <si>
    <t xml:space="preserve"> جهت هماهنگی بیشتر با خانم مهندس انصاری به شماره 88526643-021  تماس حاصل فرمایید</t>
  </si>
  <si>
    <t>ریال</t>
  </si>
  <si>
    <t>نام شرکت متقاضی خدمات</t>
  </si>
  <si>
    <t>در این پیشنهاد</t>
  </si>
  <si>
    <t>در این پیشنهاد هیچگونه کسورات قانونی و هزینه اضافی مانند ایاب و ذهاب و غذای کارکنان</t>
  </si>
  <si>
    <t xml:space="preserve"> شرکت در محل پروژه دیده نشده است </t>
  </si>
  <si>
    <t>شرکت نیرو کنترل سامان</t>
  </si>
  <si>
    <t xml:space="preserve"> دیده نشده است و می بایست توسط آن شرکت تهیه گردد در صورت درخواست قیمت این نرم افزار ها به پیشنهاد</t>
  </si>
  <si>
    <t>شرکت:</t>
  </si>
  <si>
    <t>VALID</t>
  </si>
  <si>
    <t>این پیشنهاد معتبر نمی باشد جهت دانلود فایل جدید به سایت WWW.NICSACO.COM  رجوع کنید</t>
  </si>
  <si>
    <t>تعدادابزاردقیق</t>
  </si>
  <si>
    <t>تعدادشیرکنترلی</t>
  </si>
  <si>
    <t>به نام خدا</t>
  </si>
  <si>
    <t>nicsaco.com</t>
  </si>
  <si>
    <t>قیمت فوق افزوده می گردد.</t>
  </si>
  <si>
    <t>نیاز</t>
  </si>
  <si>
    <t>تابلو صنعت یاز</t>
  </si>
  <si>
    <t>عدد موتور</t>
  </si>
  <si>
    <t>عدد  ابزار دقیق</t>
  </si>
  <si>
    <t xml:space="preserve"> عدد شیر کنترلی </t>
  </si>
  <si>
    <t>محاسبه شده است.</t>
  </si>
  <si>
    <t>پیشنهاد خدمات مهندسی  فوق برای</t>
  </si>
  <si>
    <t>اعتبار قیمت پیشنهاد شده حداکثر تا یک هفته بعد از تاریخ صدور می باشد.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</si>
</sst>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178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B Elham"/>
      <charset val="178"/>
    </font>
    <font>
      <sz val="10"/>
      <name val="B Mehr"/>
      <charset val="178"/>
    </font>
    <font>
      <b/>
      <sz val="12"/>
      <name val="B Mehr"/>
      <charset val="178"/>
    </font>
    <font>
      <b/>
      <sz val="9"/>
      <name val="B Mehr"/>
      <charset val="178"/>
    </font>
    <font>
      <b/>
      <sz val="10"/>
      <name val="B Mehr"/>
      <charset val="17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B Mehr"/>
      <charset val="178"/>
    </font>
    <font>
      <sz val="11"/>
      <name val="B Mehr"/>
      <charset val="178"/>
    </font>
    <font>
      <b/>
      <sz val="9"/>
      <name val="Arial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b/>
      <sz val="11"/>
      <color theme="9" tint="-0.249977111117893"/>
      <name val="B Mehr"/>
      <charset val="178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B Mehr"/>
      <charset val="178"/>
    </font>
    <font>
      <sz val="10"/>
      <color theme="0"/>
      <name val="Arial"/>
      <family val="2"/>
    </font>
    <font>
      <u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0" fillId="0" borderId="0" xfId="0" applyFill="1" applyBorder="1"/>
    <xf numFmtId="3" fontId="0" fillId="0" borderId="0" xfId="0" applyNumberFormat="1" applyBorder="1"/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Border="1"/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1" xfId="0" applyFont="1" applyBorder="1"/>
    <xf numFmtId="0" fontId="0" fillId="0" borderId="2" xfId="0" applyBorder="1"/>
    <xf numFmtId="0" fontId="3" fillId="0" borderId="2" xfId="0" applyFont="1" applyBorder="1"/>
    <xf numFmtId="0" fontId="0" fillId="0" borderId="2" xfId="0" applyBorder="1" applyAlignment="1">
      <alignment horizontal="left" vertical="center"/>
    </xf>
    <xf numFmtId="0" fontId="9" fillId="0" borderId="2" xfId="0" applyFont="1" applyBorder="1"/>
    <xf numFmtId="0" fontId="0" fillId="0" borderId="3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Border="1"/>
    <xf numFmtId="0" fontId="7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vertical="top"/>
    </xf>
    <xf numFmtId="14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1" fillId="0" borderId="0" xfId="0" applyFont="1" applyBorder="1" applyAlignment="1">
      <alignment horizontal="center" vertical="center"/>
    </xf>
    <xf numFmtId="0" fontId="0" fillId="0" borderId="1" xfId="0" applyFill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3" fontId="0" fillId="0" borderId="3" xfId="0" applyNumberFormat="1" applyBorder="1" applyAlignment="1">
      <alignment horizontal="right"/>
    </xf>
    <xf numFmtId="0" fontId="8" fillId="0" borderId="5" xfId="0" applyFont="1" applyBorder="1"/>
    <xf numFmtId="0" fontId="0" fillId="0" borderId="8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1" applyFont="1" applyBorder="1" applyAlignment="1" applyProtection="1"/>
    <xf numFmtId="0" fontId="9" fillId="0" borderId="0" xfId="0" applyFont="1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6" fillId="0" borderId="0" xfId="1" applyFont="1" applyAlignment="1" applyProtection="1">
      <alignment horizontal="left" vertical="top" indent="7" readingOrder="2"/>
    </xf>
    <xf numFmtId="0" fontId="16" fillId="0" borderId="0" xfId="1" applyFont="1" applyAlignment="1" applyProtection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19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17" fillId="0" borderId="1" xfId="0" applyNumberFormat="1" applyFont="1" applyFill="1" applyBorder="1" applyAlignment="1">
      <alignment horizontal="right" vertical="center"/>
    </xf>
    <xf numFmtId="3" fontId="17" fillId="0" borderId="2" xfId="0" applyNumberFormat="1" applyFont="1" applyFill="1" applyBorder="1" applyAlignment="1">
      <alignment horizontal="right" vertical="center"/>
    </xf>
    <xf numFmtId="3" fontId="18" fillId="0" borderId="2" xfId="0" applyNumberFormat="1" applyFont="1" applyBorder="1" applyAlignment="1">
      <alignment horizontal="left" vertical="center"/>
    </xf>
    <xf numFmtId="3" fontId="17" fillId="0" borderId="1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0" fontId="20" fillId="3" borderId="0" xfId="0" applyFont="1" applyFill="1"/>
    <xf numFmtId="0" fontId="20" fillId="3" borderId="0" xfId="0" applyFont="1" applyFill="1" applyAlignment="1">
      <alignment horizontal="center" vertical="center"/>
    </xf>
    <xf numFmtId="14" fontId="20" fillId="3" borderId="0" xfId="0" applyNumberFormat="1" applyFont="1" applyFill="1"/>
    <xf numFmtId="14" fontId="20" fillId="3" borderId="0" xfId="0" applyNumberFormat="1" applyFont="1" applyFill="1" applyAlignment="1">
      <alignment horizontal="center" vertical="center"/>
    </xf>
    <xf numFmtId="0" fontId="20" fillId="3" borderId="0" xfId="0" applyFont="1" applyFill="1" applyBorder="1"/>
    <xf numFmtId="0" fontId="20" fillId="3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3" fontId="20" fillId="3" borderId="0" xfId="0" applyNumberFormat="1" applyFont="1" applyFill="1"/>
    <xf numFmtId="3" fontId="20" fillId="3" borderId="0" xfId="0" applyNumberFormat="1" applyFont="1" applyFill="1" applyAlignment="1">
      <alignment horizontal="center" vertical="center"/>
    </xf>
    <xf numFmtId="2" fontId="20" fillId="3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2" fontId="20" fillId="3" borderId="0" xfId="0" applyNumberFormat="1" applyFont="1" applyFill="1"/>
    <xf numFmtId="0" fontId="21" fillId="3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</xdr:row>
      <xdr:rowOff>104775</xdr:rowOff>
    </xdr:from>
    <xdr:to>
      <xdr:col>17</xdr:col>
      <xdr:colOff>561975</xdr:colOff>
      <xdr:row>5</xdr:row>
      <xdr:rowOff>57150</xdr:rowOff>
    </xdr:to>
    <xdr:pic>
      <xdr:nvPicPr>
        <xdr:cNvPr id="1129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847725"/>
          <a:ext cx="5334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161925</xdr:colOff>
      <xdr:row>6</xdr:row>
      <xdr:rowOff>57150</xdr:rowOff>
    </xdr:from>
    <xdr:to>
      <xdr:col>17</xdr:col>
      <xdr:colOff>552450</xdr:colOff>
      <xdr:row>8</xdr:row>
      <xdr:rowOff>85725</xdr:rowOff>
    </xdr:to>
    <xdr:pic>
      <xdr:nvPicPr>
        <xdr:cNvPr id="1130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543050"/>
          <a:ext cx="390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9525</xdr:colOff>
      <xdr:row>6</xdr:row>
      <xdr:rowOff>200025</xdr:rowOff>
    </xdr:from>
    <xdr:to>
      <xdr:col>20</xdr:col>
      <xdr:colOff>838200</xdr:colOff>
      <xdr:row>9</xdr:row>
      <xdr:rowOff>85725</xdr:rowOff>
    </xdr:to>
    <xdr:pic>
      <xdr:nvPicPr>
        <xdr:cNvPr id="1131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1685925"/>
          <a:ext cx="828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171450</xdr:colOff>
      <xdr:row>3</xdr:row>
      <xdr:rowOff>38100</xdr:rowOff>
    </xdr:from>
    <xdr:to>
      <xdr:col>20</xdr:col>
      <xdr:colOff>762000</xdr:colOff>
      <xdr:row>5</xdr:row>
      <xdr:rowOff>85725</xdr:rowOff>
    </xdr:to>
    <xdr:pic>
      <xdr:nvPicPr>
        <xdr:cNvPr id="1132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0925" y="781050"/>
          <a:ext cx="590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19050</xdr:colOff>
      <xdr:row>8</xdr:row>
      <xdr:rowOff>228600</xdr:rowOff>
    </xdr:from>
    <xdr:to>
      <xdr:col>17</xdr:col>
      <xdr:colOff>600075</xdr:colOff>
      <xdr:row>11</xdr:row>
      <xdr:rowOff>3888</xdr:rowOff>
    </xdr:to>
    <xdr:pic>
      <xdr:nvPicPr>
        <xdr:cNvPr id="1133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21907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2</xdr:row>
      <xdr:rowOff>0</xdr:rowOff>
    </xdr:from>
    <xdr:to>
      <xdr:col>12</xdr:col>
      <xdr:colOff>260488</xdr:colOff>
      <xdr:row>4</xdr:row>
      <xdr:rowOff>219075</xdr:rowOff>
    </xdr:to>
    <xdr:pic>
      <xdr:nvPicPr>
        <xdr:cNvPr id="1134" name="Picture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95300"/>
          <a:ext cx="1609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533400</xdr:colOff>
      <xdr:row>42</xdr:row>
      <xdr:rowOff>171450</xdr:rowOff>
    </xdr:from>
    <xdr:to>
      <xdr:col>13</xdr:col>
      <xdr:colOff>94007</xdr:colOff>
      <xdr:row>43</xdr:row>
      <xdr:rowOff>85725</xdr:rowOff>
    </xdr:to>
    <xdr:pic>
      <xdr:nvPicPr>
        <xdr:cNvPr id="1135" name="Picture 8" descr="D:\Site\boss\excel\calculate sheet\Capture.JP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0020300"/>
          <a:ext cx="10572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242596</xdr:colOff>
      <xdr:row>43</xdr:row>
      <xdr:rowOff>56372</xdr:rowOff>
    </xdr:from>
    <xdr:to>
      <xdr:col>13</xdr:col>
      <xdr:colOff>94624</xdr:colOff>
      <xdr:row>43</xdr:row>
      <xdr:rowOff>227822</xdr:rowOff>
    </xdr:to>
    <xdr:pic>
      <xdr:nvPicPr>
        <xdr:cNvPr id="1136" name="Picture 12" descr="C:\Users\m.asghasem\Desktop\Capture1.JP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6499" y="10592188"/>
          <a:ext cx="205832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SO\Nicsa\20-%20&#1705;&#1606;&#1578;&#1585;&#1604;%20&#1662;&#1585;&#1608;&#1688;&#1607;\&#1580;&#1583;&#1608;&#1604;%20&#1586;&#1605;&#1575;&#1606;&#1740;%20&#1662;&#1585;&#1608;&#1688;&#16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al"/>
      <sheetName val="Instrument"/>
    </sheetNames>
    <sheetDataSet>
      <sheetData sheetId="0">
        <row r="5">
          <cell r="B5">
            <v>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icsaco.com/" TargetMode="External"/><Relationship Id="rId1" Type="http://schemas.openxmlformats.org/officeDocument/2006/relationships/hyperlink" Target="../&#1582;&#1583;&#1605;&#1575;&#1578;%20&#1588;&#1585;&#1705;&#1578;%20&#1606;&#1740;&#1705;&#1587;&#1575;/01-&#1591;&#1585;&#1575;&#1581;&#1740;%20&#1608;%20&#1605;&#1607;&#1606;&#1583;&#1587;&#1740;/5-&#1576;&#1585;&#1606;&#1575;&#1605;&#1607;%20&#1606;&#1608;&#1740;&#1587;&#1740;%20&#1608;%20&#1605;&#1575;&#1606;&#1740;&#1578;&#1608;&#1585;&#1740;&#1606;&#1711;/nisac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3"/>
  <sheetViews>
    <sheetView tabSelected="1" view="pageBreakPreview" topLeftCell="A22" zoomScale="115" zoomScaleNormal="115" zoomScaleSheetLayoutView="115" workbookViewId="0">
      <selection activeCell="C22" sqref="C22:F22"/>
    </sheetView>
  </sheetViews>
  <sheetFormatPr defaultRowHeight="12.75" x14ac:dyDescent="0.2"/>
  <cols>
    <col min="2" max="2" width="12.7109375" customWidth="1"/>
    <col min="3" max="3" width="14" customWidth="1"/>
    <col min="4" max="4" width="2.28515625" customWidth="1"/>
    <col min="5" max="5" width="6.42578125" customWidth="1"/>
    <col min="6" max="6" width="3.85546875" customWidth="1"/>
    <col min="7" max="7" width="8" customWidth="1"/>
    <col min="8" max="8" width="4.85546875" bestFit="1" customWidth="1"/>
    <col min="9" max="9" width="11" customWidth="1"/>
    <col min="10" max="10" width="3.7109375" customWidth="1"/>
    <col min="11" max="11" width="7" style="15" customWidth="1"/>
    <col min="12" max="12" width="16.7109375" customWidth="1"/>
    <col min="13" max="13" width="5.7109375" style="1" customWidth="1"/>
    <col min="14" max="14" width="8" customWidth="1"/>
    <col min="19" max="19" width="10.28515625" bestFit="1" customWidth="1"/>
    <col min="21" max="21" width="13.5703125" bestFit="1" customWidth="1"/>
    <col min="22" max="22" width="17.28515625" bestFit="1" customWidth="1"/>
  </cols>
  <sheetData>
    <row r="1" spans="2:23" ht="20.100000000000001" customHeight="1" x14ac:dyDescent="0.8">
      <c r="B1" s="3"/>
      <c r="C1" s="3"/>
      <c r="D1" s="3"/>
      <c r="E1" s="3"/>
      <c r="F1" s="3"/>
      <c r="G1" s="3"/>
      <c r="H1" s="3"/>
      <c r="I1" s="3"/>
      <c r="J1" s="3"/>
      <c r="K1" s="14"/>
      <c r="L1" s="3"/>
      <c r="M1" s="2"/>
      <c r="N1" s="3"/>
      <c r="U1" s="17"/>
    </row>
    <row r="2" spans="2:23" ht="20.100000000000001" customHeight="1" thickBot="1" x14ac:dyDescent="0.25">
      <c r="B2" s="35"/>
      <c r="C2" s="38">
        <f ca="1">TODAY()</f>
        <v>44688</v>
      </c>
      <c r="D2" s="39"/>
      <c r="E2" s="39" t="s">
        <v>15</v>
      </c>
      <c r="F2" s="3"/>
      <c r="G2" s="39"/>
      <c r="H2" s="3"/>
      <c r="I2" s="3"/>
      <c r="J2" s="3"/>
      <c r="K2" s="14"/>
      <c r="L2" s="3"/>
      <c r="M2" s="12" t="s">
        <v>59</v>
      </c>
      <c r="N2" s="3"/>
      <c r="T2" s="70" t="s">
        <v>17</v>
      </c>
      <c r="U2" s="1"/>
    </row>
    <row r="3" spans="2:23" ht="20.100000000000001" customHeight="1" thickTop="1" x14ac:dyDescent="0.2">
      <c r="B3" s="35"/>
      <c r="C3" s="40">
        <f>NICSACO.COM!E3*1000000+1000*NICSACO.COM!E4+NICSACO.COM!E5</f>
        <v>64040000</v>
      </c>
      <c r="D3" s="41">
        <f>NICSACO.COM!C31*NICSACO.COM!F31</f>
        <v>1</v>
      </c>
      <c r="E3" s="39" t="s">
        <v>16</v>
      </c>
      <c r="F3" s="3"/>
      <c r="G3" s="39"/>
      <c r="H3" s="3"/>
      <c r="I3" s="3"/>
      <c r="J3" s="3"/>
      <c r="K3" s="14"/>
      <c r="L3" s="3"/>
      <c r="M3" s="2"/>
      <c r="N3" s="3"/>
      <c r="Q3" s="49"/>
      <c r="R3" s="50"/>
      <c r="S3" s="50"/>
      <c r="T3" s="50"/>
      <c r="U3" s="65"/>
      <c r="V3" s="50"/>
      <c r="W3" s="51"/>
    </row>
    <row r="4" spans="2:23" ht="20.100000000000001" customHeight="1" x14ac:dyDescent="0.2">
      <c r="B4" s="3"/>
      <c r="C4" s="3"/>
      <c r="D4" s="3"/>
      <c r="E4" s="3"/>
      <c r="F4" s="3"/>
      <c r="G4" s="3"/>
      <c r="H4" s="3"/>
      <c r="I4" s="3"/>
      <c r="J4" s="3"/>
      <c r="K4" s="14"/>
      <c r="L4" s="3"/>
      <c r="M4" s="2"/>
      <c r="N4" s="3"/>
      <c r="Q4" s="52"/>
      <c r="R4" s="3"/>
      <c r="S4" s="67" t="s">
        <v>18</v>
      </c>
      <c r="T4" s="2"/>
      <c r="U4" s="2"/>
      <c r="V4" s="67" t="s">
        <v>34</v>
      </c>
      <c r="W4" s="66"/>
    </row>
    <row r="5" spans="2:23" ht="20.100000000000001" customHeight="1" x14ac:dyDescent="0.2">
      <c r="B5" s="3"/>
      <c r="C5" s="3"/>
      <c r="D5" s="3"/>
      <c r="E5" s="3"/>
      <c r="F5" s="3"/>
      <c r="G5" s="3"/>
      <c r="H5" s="3"/>
      <c r="I5" s="3"/>
      <c r="J5" s="3"/>
      <c r="K5" s="14"/>
      <c r="L5" s="3"/>
      <c r="M5" s="2"/>
      <c r="N5" s="3"/>
      <c r="Q5" s="52"/>
      <c r="R5" s="3"/>
      <c r="S5" s="68">
        <v>64</v>
      </c>
      <c r="T5" s="2"/>
      <c r="U5" s="2"/>
      <c r="V5" s="68" t="s">
        <v>20</v>
      </c>
      <c r="W5" s="66"/>
    </row>
    <row r="6" spans="2:23" ht="20.100000000000001" customHeight="1" x14ac:dyDescent="0.7">
      <c r="B6" s="3"/>
      <c r="C6" s="11"/>
      <c r="D6" s="11"/>
      <c r="E6" s="11"/>
      <c r="F6" s="11"/>
      <c r="G6" s="11"/>
      <c r="H6" s="11"/>
      <c r="I6" s="11"/>
      <c r="J6" s="11"/>
      <c r="K6" s="16"/>
      <c r="L6" s="13" t="str">
        <f>V11</f>
        <v>تابلو صنعت یاز</v>
      </c>
      <c r="M6" s="36" t="s">
        <v>54</v>
      </c>
      <c r="N6" s="3"/>
      <c r="Q6" s="52"/>
      <c r="R6" s="3"/>
      <c r="S6" s="67"/>
      <c r="T6" s="2"/>
      <c r="U6" s="2"/>
      <c r="V6" s="67"/>
      <c r="W6" s="66"/>
    </row>
    <row r="7" spans="2:23" ht="20.100000000000001" customHeight="1" x14ac:dyDescent="0.7">
      <c r="B7" s="3"/>
      <c r="C7" s="37" t="str">
        <f ca="1">IF(NICSACO.COM!D3,NICSACO.COM!B34,NICSACO.COM!B35)</f>
        <v>VALID</v>
      </c>
      <c r="D7" s="11"/>
      <c r="E7" s="11"/>
      <c r="F7" s="11"/>
      <c r="G7" s="11"/>
      <c r="H7" s="11"/>
      <c r="I7" s="11"/>
      <c r="J7" s="11"/>
      <c r="K7" s="16"/>
      <c r="L7" s="11"/>
      <c r="M7" s="12"/>
      <c r="N7" s="3"/>
      <c r="Q7" s="52"/>
      <c r="R7" s="3"/>
      <c r="S7" s="67" t="s">
        <v>57</v>
      </c>
      <c r="T7" s="2"/>
      <c r="U7" s="2"/>
      <c r="V7" s="67" t="s">
        <v>35</v>
      </c>
      <c r="W7" s="66"/>
    </row>
    <row r="8" spans="2:23" ht="18" customHeight="1" x14ac:dyDescent="0.7">
      <c r="B8" s="3"/>
      <c r="C8" s="11"/>
      <c r="D8" s="11"/>
      <c r="E8" s="11"/>
      <c r="F8" s="11"/>
      <c r="G8" s="11"/>
      <c r="H8" s="11"/>
      <c r="I8" s="11"/>
      <c r="J8" s="11"/>
      <c r="K8" s="16"/>
      <c r="L8" s="45" t="s">
        <v>0</v>
      </c>
      <c r="M8" s="12"/>
      <c r="N8" s="3"/>
      <c r="Q8" s="52"/>
      <c r="R8" s="3"/>
      <c r="S8" s="68">
        <v>40</v>
      </c>
      <c r="T8" s="2"/>
      <c r="U8" s="2"/>
      <c r="V8" s="69" t="s">
        <v>36</v>
      </c>
      <c r="W8" s="66"/>
    </row>
    <row r="9" spans="2:23" ht="18.75" customHeight="1" x14ac:dyDescent="0.7">
      <c r="B9" s="3"/>
      <c r="C9" s="11"/>
      <c r="D9" s="11"/>
      <c r="E9" s="11"/>
      <c r="F9" s="11"/>
      <c r="G9" s="11"/>
      <c r="H9" s="11"/>
      <c r="I9" s="11"/>
      <c r="J9" s="11"/>
      <c r="K9" s="16"/>
      <c r="L9" s="44" t="s">
        <v>1</v>
      </c>
      <c r="M9" s="12"/>
      <c r="N9" s="3"/>
      <c r="Q9" s="52"/>
      <c r="R9" s="3"/>
      <c r="S9" s="67"/>
      <c r="T9" s="2"/>
      <c r="U9" s="2"/>
      <c r="V9" s="67"/>
      <c r="W9" s="66"/>
    </row>
    <row r="10" spans="2:23" ht="22.5" x14ac:dyDescent="0.7">
      <c r="B10" s="3"/>
      <c r="C10" s="11"/>
      <c r="D10" s="11"/>
      <c r="E10" s="11"/>
      <c r="F10" s="11"/>
      <c r="G10" s="11"/>
      <c r="H10" s="11"/>
      <c r="I10" s="11"/>
      <c r="J10" s="11"/>
      <c r="K10" s="16"/>
      <c r="L10" s="3"/>
      <c r="M10" s="11" t="s">
        <v>2</v>
      </c>
      <c r="N10" s="3"/>
      <c r="Q10" s="52"/>
      <c r="R10" s="3"/>
      <c r="S10" s="67" t="s">
        <v>58</v>
      </c>
      <c r="T10" s="2"/>
      <c r="U10" s="2"/>
      <c r="V10" s="67" t="s">
        <v>48</v>
      </c>
      <c r="W10" s="66"/>
    </row>
    <row r="11" spans="2:23" ht="22.5" x14ac:dyDescent="0.7">
      <c r="B11" s="3"/>
      <c r="C11" s="11"/>
      <c r="D11" s="11"/>
      <c r="E11" s="11"/>
      <c r="F11" s="11"/>
      <c r="G11" s="11"/>
      <c r="H11" s="11"/>
      <c r="I11" s="11"/>
      <c r="J11" s="11"/>
      <c r="K11" s="16"/>
      <c r="L11" s="3"/>
      <c r="M11" s="11" t="s">
        <v>14</v>
      </c>
      <c r="N11" s="3"/>
      <c r="Q11" s="52"/>
      <c r="R11" s="3"/>
      <c r="S11" s="68">
        <v>0</v>
      </c>
      <c r="T11" s="2"/>
      <c r="U11" s="2"/>
      <c r="V11" s="68" t="s">
        <v>63</v>
      </c>
      <c r="W11" s="66"/>
    </row>
    <row r="12" spans="2:23" ht="22.5" customHeight="1" thickBot="1" x14ac:dyDescent="0.25">
      <c r="B12" s="3"/>
      <c r="C12" s="7"/>
      <c r="D12" s="7"/>
      <c r="E12" s="7"/>
      <c r="F12" s="7"/>
      <c r="G12" s="3"/>
      <c r="H12" s="3"/>
      <c r="I12" s="3"/>
      <c r="J12" s="3"/>
      <c r="K12" s="14"/>
      <c r="L12" s="6"/>
      <c r="M12" s="2"/>
      <c r="N12" s="3"/>
      <c r="Q12" s="52"/>
      <c r="R12" s="6"/>
      <c r="S12" s="2"/>
      <c r="T12" s="2"/>
      <c r="U12" s="2"/>
      <c r="V12" s="2"/>
      <c r="W12" s="66"/>
    </row>
    <row r="13" spans="2:23" ht="21.75" thickTop="1" x14ac:dyDescent="0.65">
      <c r="B13" s="3"/>
      <c r="C13" s="54"/>
      <c r="D13" s="55"/>
      <c r="E13" s="55"/>
      <c r="F13" s="55" t="s">
        <v>32</v>
      </c>
      <c r="G13" s="57"/>
      <c r="H13" s="55" t="s">
        <v>62</v>
      </c>
      <c r="I13" s="61"/>
      <c r="J13" s="26"/>
      <c r="K13" s="56" t="s">
        <v>13</v>
      </c>
      <c r="L13" s="57"/>
      <c r="M13" s="57" t="s">
        <v>12</v>
      </c>
      <c r="N13" s="3"/>
      <c r="Q13" s="50"/>
      <c r="R13" s="50"/>
      <c r="S13" s="50"/>
      <c r="T13" s="50"/>
      <c r="U13" s="50"/>
      <c r="V13" s="50"/>
      <c r="W13" s="50"/>
    </row>
    <row r="14" spans="2:23" ht="21" x14ac:dyDescent="0.65">
      <c r="B14" s="3"/>
      <c r="C14" s="86">
        <f ca="1">NICSACO.COM!A8*H14</f>
        <v>540000000</v>
      </c>
      <c r="D14" s="87"/>
      <c r="E14" s="87"/>
      <c r="F14" s="87"/>
      <c r="G14" s="64"/>
      <c r="H14" s="78">
        <v>1</v>
      </c>
      <c r="I14" s="61"/>
      <c r="J14" s="26"/>
      <c r="K14" s="56"/>
      <c r="L14" s="57" t="s">
        <v>3</v>
      </c>
      <c r="M14" s="58">
        <v>1</v>
      </c>
      <c r="N14" s="3"/>
    </row>
    <row r="15" spans="2:23" ht="18.75" customHeight="1" x14ac:dyDescent="0.65">
      <c r="B15" s="3"/>
      <c r="C15" s="86">
        <f ca="1">NICSACO.COM!A9*H15</f>
        <v>426000000</v>
      </c>
      <c r="D15" s="87"/>
      <c r="E15" s="87"/>
      <c r="F15" s="87"/>
      <c r="G15" s="63"/>
      <c r="H15" s="78">
        <v>1</v>
      </c>
      <c r="I15" s="61"/>
      <c r="J15" s="26"/>
      <c r="K15" s="56"/>
      <c r="L15" s="57" t="s">
        <v>4</v>
      </c>
      <c r="M15" s="58">
        <v>2</v>
      </c>
      <c r="N15" s="3"/>
    </row>
    <row r="16" spans="2:23" ht="21" x14ac:dyDescent="0.65">
      <c r="B16" s="3"/>
      <c r="C16" s="86">
        <f ca="1">NICSACO.COM!A10*H16</f>
        <v>27000000</v>
      </c>
      <c r="D16" s="87"/>
      <c r="E16" s="87"/>
      <c r="F16" s="87"/>
      <c r="G16" s="63"/>
      <c r="H16" s="78">
        <v>1</v>
      </c>
      <c r="I16" s="61"/>
      <c r="J16" s="26"/>
      <c r="K16" s="56"/>
      <c r="L16" s="57" t="s">
        <v>5</v>
      </c>
      <c r="M16" s="58">
        <v>3</v>
      </c>
      <c r="N16" s="3"/>
    </row>
    <row r="17" spans="2:14" ht="21" x14ac:dyDescent="0.65">
      <c r="B17" s="3"/>
      <c r="C17" s="86">
        <f ca="1">NICSACO.COM!A11*H17</f>
        <v>106000000</v>
      </c>
      <c r="D17" s="87"/>
      <c r="E17" s="87"/>
      <c r="F17" s="87"/>
      <c r="G17" s="63"/>
      <c r="H17" s="78">
        <v>1</v>
      </c>
      <c r="I17" s="61"/>
      <c r="J17" s="26"/>
      <c r="K17" s="56"/>
      <c r="L17" s="57" t="s">
        <v>8</v>
      </c>
      <c r="M17" s="58">
        <v>4</v>
      </c>
      <c r="N17" s="3"/>
    </row>
    <row r="18" spans="2:14" ht="21" x14ac:dyDescent="0.65">
      <c r="B18" s="3"/>
      <c r="C18" s="86">
        <f ca="1">NICSACO.COM!A12*H18</f>
        <v>21000000</v>
      </c>
      <c r="D18" s="87"/>
      <c r="E18" s="87"/>
      <c r="F18" s="87"/>
      <c r="G18" s="63"/>
      <c r="H18" s="78">
        <v>1</v>
      </c>
      <c r="I18" s="61"/>
      <c r="J18" s="26"/>
      <c r="K18" s="56"/>
      <c r="L18" s="57" t="s">
        <v>27</v>
      </c>
      <c r="M18" s="58">
        <v>5</v>
      </c>
      <c r="N18" s="3"/>
    </row>
    <row r="19" spans="2:14" ht="21" x14ac:dyDescent="0.65">
      <c r="B19" s="3"/>
      <c r="C19" s="86">
        <f ca="1">NICSACO.COM!A13*H19</f>
        <v>23000000</v>
      </c>
      <c r="D19" s="87"/>
      <c r="E19" s="87"/>
      <c r="F19" s="87"/>
      <c r="G19" s="63"/>
      <c r="H19" s="78">
        <v>1</v>
      </c>
      <c r="I19" s="61"/>
      <c r="J19" s="26"/>
      <c r="K19" s="56"/>
      <c r="L19" s="57" t="s">
        <v>28</v>
      </c>
      <c r="M19" s="58">
        <v>6</v>
      </c>
      <c r="N19" s="3"/>
    </row>
    <row r="20" spans="2:14" ht="21" x14ac:dyDescent="0.65">
      <c r="B20" s="3"/>
      <c r="C20" s="86">
        <f ca="1">NICSACO.COM!A14*H20</f>
        <v>58000000</v>
      </c>
      <c r="D20" s="87"/>
      <c r="E20" s="87"/>
      <c r="F20" s="87"/>
      <c r="G20" s="63"/>
      <c r="H20" s="78">
        <v>1</v>
      </c>
      <c r="I20" s="61"/>
      <c r="J20" s="26"/>
      <c r="K20" s="56"/>
      <c r="L20" s="57" t="s">
        <v>6</v>
      </c>
      <c r="M20" s="58">
        <v>7</v>
      </c>
      <c r="N20" s="3"/>
    </row>
    <row r="21" spans="2:14" ht="21" x14ac:dyDescent="0.65">
      <c r="B21" s="3"/>
      <c r="C21" s="86">
        <f ca="1">NICSACO.COM!A15*H21</f>
        <v>117000000</v>
      </c>
      <c r="D21" s="87"/>
      <c r="E21" s="87"/>
      <c r="F21" s="87"/>
      <c r="G21" s="63"/>
      <c r="H21" s="78">
        <v>1</v>
      </c>
      <c r="I21" s="61"/>
      <c r="J21" s="26"/>
      <c r="K21" s="56"/>
      <c r="L21" s="57" t="s">
        <v>7</v>
      </c>
      <c r="M21" s="58">
        <v>8</v>
      </c>
      <c r="N21" s="3"/>
    </row>
    <row r="22" spans="2:14" ht="25.5" x14ac:dyDescent="0.65">
      <c r="B22" s="3"/>
      <c r="C22" s="86">
        <f ca="1">NICSACO.COM!A16*H22</f>
        <v>60000000</v>
      </c>
      <c r="D22" s="87"/>
      <c r="E22" s="87"/>
      <c r="F22" s="87"/>
      <c r="G22" s="63"/>
      <c r="H22" s="78">
        <v>1</v>
      </c>
      <c r="I22" s="61"/>
      <c r="J22" s="55" t="s">
        <v>31</v>
      </c>
      <c r="K22" s="59" t="str">
        <f ca="1">NICSACO.COM!I23</f>
        <v>4</v>
      </c>
      <c r="L22" s="57" t="s">
        <v>9</v>
      </c>
      <c r="M22" s="58">
        <v>9</v>
      </c>
      <c r="N22" s="3"/>
    </row>
    <row r="23" spans="2:14" ht="21" x14ac:dyDescent="0.65">
      <c r="B23" s="3"/>
      <c r="C23" s="89">
        <f ca="1">NICSACO.COM!A17*H23</f>
        <v>0</v>
      </c>
      <c r="D23" s="90"/>
      <c r="E23" s="90"/>
      <c r="F23" s="90"/>
      <c r="G23" s="63"/>
      <c r="H23" s="78">
        <v>0</v>
      </c>
      <c r="I23" s="61"/>
      <c r="J23" s="26"/>
      <c r="K23" s="56"/>
      <c r="L23" s="57" t="s">
        <v>10</v>
      </c>
      <c r="M23" s="58">
        <v>10</v>
      </c>
      <c r="N23" s="3"/>
    </row>
    <row r="24" spans="2:14" ht="21" x14ac:dyDescent="0.65">
      <c r="B24" s="3"/>
      <c r="C24" s="89">
        <f ca="1">NICSACO.COM!A18*H24</f>
        <v>90000000</v>
      </c>
      <c r="D24" s="90"/>
      <c r="E24" s="90"/>
      <c r="F24" s="90"/>
      <c r="G24" s="63"/>
      <c r="H24" s="78">
        <v>1</v>
      </c>
      <c r="I24" s="61"/>
      <c r="J24" s="26"/>
      <c r="K24" s="56"/>
      <c r="L24" s="57" t="s">
        <v>11</v>
      </c>
      <c r="M24" s="58">
        <v>11</v>
      </c>
      <c r="N24" s="3"/>
    </row>
    <row r="25" spans="2:14" ht="25.5" x14ac:dyDescent="0.65">
      <c r="B25" s="3"/>
      <c r="C25" s="89">
        <f ca="1">NICSACO.COM!A19*H25</f>
        <v>0</v>
      </c>
      <c r="D25" s="90"/>
      <c r="E25" s="90"/>
      <c r="F25" s="90"/>
      <c r="G25" s="63"/>
      <c r="H25" s="78">
        <v>0</v>
      </c>
      <c r="I25" s="61"/>
      <c r="J25" s="60" t="s">
        <v>29</v>
      </c>
      <c r="K25" s="59">
        <f ca="1">NICSACO.COM!I22</f>
        <v>3</v>
      </c>
      <c r="L25" s="57" t="s">
        <v>30</v>
      </c>
      <c r="M25" s="58">
        <v>12</v>
      </c>
      <c r="N25" s="3"/>
    </row>
    <row r="26" spans="2:14" x14ac:dyDescent="0.2">
      <c r="B26" s="3"/>
      <c r="C26" s="26"/>
      <c r="D26" s="26"/>
      <c r="E26" s="26"/>
      <c r="F26" s="26"/>
      <c r="G26" s="26"/>
      <c r="H26" s="62"/>
      <c r="I26" s="26"/>
      <c r="J26" s="26"/>
      <c r="K26" s="28"/>
      <c r="L26" s="26"/>
      <c r="M26" s="62"/>
      <c r="N26" s="3"/>
    </row>
    <row r="27" spans="2:14" ht="17.25" x14ac:dyDescent="0.35">
      <c r="B27" s="3"/>
      <c r="C27" s="25" t="s">
        <v>47</v>
      </c>
      <c r="D27" s="88">
        <f ca="1">NICSACO.COM!A20</f>
        <v>1468000000</v>
      </c>
      <c r="E27" s="88"/>
      <c r="F27" s="88"/>
      <c r="G27" s="88"/>
      <c r="H27" s="26"/>
      <c r="I27" s="27"/>
      <c r="J27" s="26"/>
      <c r="K27" s="28"/>
      <c r="L27" s="29" t="s">
        <v>33</v>
      </c>
      <c r="M27" s="30"/>
      <c r="N27" s="3"/>
    </row>
    <row r="28" spans="2:14" x14ac:dyDescent="0.2">
      <c r="B28" s="3"/>
      <c r="C28" s="8"/>
      <c r="D28" s="8"/>
      <c r="E28" s="8"/>
      <c r="F28" s="3"/>
      <c r="G28" s="3"/>
      <c r="H28" s="3"/>
      <c r="I28" s="3"/>
      <c r="J28" s="3"/>
      <c r="K28" s="14"/>
      <c r="L28" s="6"/>
      <c r="M28" s="9"/>
      <c r="N28" s="3"/>
    </row>
    <row r="29" spans="2:14" ht="22.5" x14ac:dyDescent="0.7">
      <c r="B29" s="3"/>
      <c r="C29" s="85" t="s">
        <v>66</v>
      </c>
      <c r="D29" s="85"/>
      <c r="E29" s="80">
        <f>S11</f>
        <v>0</v>
      </c>
      <c r="F29" s="48"/>
      <c r="G29" s="48" t="s">
        <v>65</v>
      </c>
      <c r="H29" s="48">
        <f>S8</f>
        <v>40</v>
      </c>
      <c r="I29" s="48" t="s">
        <v>64</v>
      </c>
      <c r="J29" s="43">
        <f>S5</f>
        <v>64</v>
      </c>
      <c r="K29" s="14"/>
      <c r="L29" s="79"/>
      <c r="M29" s="79" t="s">
        <v>68</v>
      </c>
      <c r="N29" s="3"/>
    </row>
    <row r="30" spans="2:14" ht="18" customHeight="1" x14ac:dyDescent="0.7">
      <c r="B30" s="3"/>
      <c r="C30" s="81"/>
      <c r="D30" s="81"/>
      <c r="E30" s="80"/>
      <c r="F30" s="48"/>
      <c r="G30" s="48"/>
      <c r="H30" s="48"/>
      <c r="I30" s="48"/>
      <c r="J30" s="48"/>
      <c r="K30" s="14"/>
      <c r="L30" s="79"/>
      <c r="M30" s="79" t="s">
        <v>67</v>
      </c>
      <c r="N30" s="3"/>
    </row>
    <row r="31" spans="2:14" ht="20.100000000000001" customHeight="1" x14ac:dyDescent="0.7">
      <c r="B31" s="19"/>
      <c r="C31" s="33" t="s">
        <v>49</v>
      </c>
      <c r="D31" s="12"/>
      <c r="E31" s="18" t="str">
        <f>V8</f>
        <v>WINCC</v>
      </c>
      <c r="F31" s="43" t="s">
        <v>41</v>
      </c>
      <c r="G31" s="34" t="str">
        <f>V5</f>
        <v>زیمنس</v>
      </c>
      <c r="H31" s="33"/>
      <c r="I31" s="33"/>
      <c r="J31" s="33"/>
      <c r="K31" s="46"/>
      <c r="L31" s="20"/>
      <c r="M31" s="33" t="s">
        <v>19</v>
      </c>
      <c r="N31" s="19"/>
    </row>
    <row r="32" spans="2:14" ht="20.100000000000001" customHeight="1" x14ac:dyDescent="0.2">
      <c r="B32" s="19"/>
      <c r="C32" s="33"/>
      <c r="D32" s="33"/>
      <c r="E32" s="33"/>
      <c r="F32" s="33"/>
      <c r="G32" s="33"/>
      <c r="H32" s="33"/>
      <c r="I32" s="33"/>
      <c r="J32" s="33"/>
      <c r="K32" s="46"/>
      <c r="L32" s="20"/>
      <c r="M32" s="33" t="s">
        <v>53</v>
      </c>
      <c r="N32" s="19"/>
    </row>
    <row r="33" spans="2:14" ht="20.100000000000001" customHeight="1" x14ac:dyDescent="0.2">
      <c r="B33" s="9"/>
      <c r="C33" s="34"/>
      <c r="D33" s="34"/>
      <c r="E33" s="34"/>
      <c r="F33" s="34"/>
      <c r="G33" s="34"/>
      <c r="H33" s="34"/>
      <c r="I33" s="34"/>
      <c r="J33" s="34"/>
      <c r="K33" s="34"/>
      <c r="L33" s="23"/>
      <c r="M33" s="34" t="s">
        <v>61</v>
      </c>
      <c r="N33" s="9"/>
    </row>
    <row r="34" spans="2:14" ht="20.100000000000001" customHeight="1" x14ac:dyDescent="0.2">
      <c r="B34" s="9"/>
      <c r="C34" s="34"/>
      <c r="D34" s="34"/>
      <c r="E34" s="34"/>
      <c r="F34" s="34"/>
      <c r="G34" s="34"/>
      <c r="H34" s="34"/>
      <c r="I34" s="34"/>
      <c r="J34" s="22" t="s">
        <v>44</v>
      </c>
      <c r="K34" s="47">
        <f ca="1">NICSACO.COM!I24</f>
        <v>30</v>
      </c>
      <c r="L34" s="23"/>
      <c r="M34" s="32" t="s">
        <v>43</v>
      </c>
      <c r="N34" s="9"/>
    </row>
    <row r="35" spans="2:14" ht="6.95" customHeight="1" x14ac:dyDescent="0.7">
      <c r="B35" s="9"/>
      <c r="C35" s="34"/>
      <c r="D35" s="34"/>
      <c r="E35" s="48"/>
      <c r="F35" s="48"/>
      <c r="G35" s="48"/>
      <c r="H35" s="48"/>
      <c r="I35" s="48"/>
      <c r="J35" s="48"/>
      <c r="K35" s="46"/>
      <c r="L35" s="23"/>
      <c r="M35" s="42"/>
      <c r="N35" s="9"/>
    </row>
    <row r="36" spans="2:14" ht="20.100000000000001" customHeight="1" x14ac:dyDescent="0.2">
      <c r="B36" s="9"/>
      <c r="C36" s="33"/>
      <c r="D36" s="33"/>
      <c r="E36" s="33"/>
      <c r="F36" s="33"/>
      <c r="G36" s="33"/>
      <c r="H36" s="33"/>
      <c r="I36" s="33"/>
      <c r="J36" s="33"/>
      <c r="K36" s="46"/>
      <c r="L36" s="20"/>
      <c r="M36" s="33" t="s">
        <v>45</v>
      </c>
      <c r="N36" s="9"/>
    </row>
    <row r="37" spans="2:14" ht="6.95" customHeight="1" x14ac:dyDescent="0.7">
      <c r="B37" s="19"/>
      <c r="C37" s="48"/>
      <c r="D37" s="48"/>
      <c r="E37" s="48"/>
      <c r="F37" s="48"/>
      <c r="G37" s="48"/>
      <c r="H37" s="48"/>
      <c r="I37" s="48"/>
      <c r="J37" s="48"/>
      <c r="K37" s="46"/>
      <c r="L37" s="48"/>
      <c r="M37" s="42"/>
      <c r="N37" s="19"/>
    </row>
    <row r="38" spans="2:14" ht="20.100000000000001" customHeight="1" x14ac:dyDescent="0.2">
      <c r="B38" s="19"/>
      <c r="C38" s="33"/>
      <c r="D38" s="33"/>
      <c r="E38" s="33"/>
      <c r="F38" s="33"/>
      <c r="G38" s="33"/>
      <c r="H38" s="33"/>
      <c r="I38" s="33"/>
      <c r="J38" s="33"/>
      <c r="K38" s="46"/>
      <c r="L38" s="20"/>
      <c r="M38" s="31" t="s">
        <v>46</v>
      </c>
      <c r="N38" s="19"/>
    </row>
    <row r="39" spans="2:14" s="21" customFormat="1" ht="20.100000000000001" customHeight="1" x14ac:dyDescent="0.7">
      <c r="B39" s="3"/>
      <c r="C39" s="48"/>
      <c r="D39" s="48"/>
      <c r="E39" s="48"/>
      <c r="F39" s="48"/>
      <c r="G39" s="48"/>
      <c r="H39" s="48"/>
      <c r="I39" s="48"/>
      <c r="J39" s="48"/>
      <c r="K39" s="46"/>
      <c r="L39" s="48"/>
      <c r="M39" s="31" t="s">
        <v>50</v>
      </c>
      <c r="N39" s="3"/>
    </row>
    <row r="40" spans="2:14" s="24" customFormat="1" ht="20.100000000000001" customHeight="1" x14ac:dyDescent="0.7">
      <c r="B40" s="3"/>
      <c r="C40" s="48"/>
      <c r="D40" s="48"/>
      <c r="E40" s="48"/>
      <c r="F40" s="48"/>
      <c r="G40" s="48"/>
      <c r="H40" s="48"/>
      <c r="I40" s="48"/>
      <c r="J40" s="48"/>
      <c r="K40" s="46"/>
      <c r="L40" s="48"/>
      <c r="M40" s="31" t="s">
        <v>51</v>
      </c>
      <c r="N40" s="3"/>
    </row>
    <row r="41" spans="2:14" s="24" customFormat="1" ht="20.100000000000001" customHeight="1" x14ac:dyDescent="0.7">
      <c r="B41" s="3"/>
      <c r="C41" s="48"/>
      <c r="D41" s="48"/>
      <c r="E41" s="48"/>
      <c r="F41" s="82"/>
      <c r="G41" s="82"/>
      <c r="H41" s="82"/>
      <c r="I41" s="82"/>
      <c r="J41" s="82"/>
      <c r="K41" s="83"/>
      <c r="L41" s="82"/>
      <c r="M41" s="84" t="s">
        <v>69</v>
      </c>
      <c r="N41" s="3"/>
    </row>
    <row r="42" spans="2:14" s="24" customFormat="1" ht="22.5" customHeight="1" x14ac:dyDescent="0.2">
      <c r="B42" s="3"/>
      <c r="C42" s="3"/>
      <c r="D42" s="53" t="s">
        <v>52</v>
      </c>
      <c r="E42" s="3"/>
      <c r="F42" s="3"/>
      <c r="G42" s="3"/>
      <c r="H42" s="3"/>
      <c r="I42" s="3"/>
      <c r="J42" s="3"/>
      <c r="K42" s="14"/>
      <c r="L42" s="6"/>
      <c r="M42" s="31"/>
      <c r="N42" s="3"/>
    </row>
    <row r="43" spans="2:14" s="24" customFormat="1" ht="22.5" customHeight="1" x14ac:dyDescent="0.2">
      <c r="B43" s="3"/>
      <c r="C43" s="3"/>
      <c r="D43" s="3"/>
      <c r="E43" s="3"/>
      <c r="F43" s="3"/>
      <c r="G43" s="3"/>
      <c r="H43" s="3"/>
      <c r="I43" s="74"/>
      <c r="J43" s="75"/>
      <c r="K43" s="75"/>
      <c r="L43" s="76" t="s">
        <v>60</v>
      </c>
      <c r="M43" s="77"/>
      <c r="N43" s="3"/>
    </row>
    <row r="44" spans="2:14" s="24" customFormat="1" ht="22.5" customHeight="1" x14ac:dyDescent="0.25">
      <c r="B44" s="3"/>
      <c r="C44" s="3"/>
      <c r="D44" s="10"/>
      <c r="E44" s="10"/>
      <c r="F44" s="3"/>
      <c r="G44" s="71"/>
      <c r="H44" s="72"/>
      <c r="I44" s="6"/>
      <c r="J44" s="3"/>
      <c r="K44" s="14"/>
      <c r="L44" s="6"/>
      <c r="M44" s="4"/>
      <c r="N44" s="3"/>
    </row>
    <row r="45" spans="2:14" s="21" customFormat="1" ht="22.5" customHeight="1" x14ac:dyDescent="0.2">
      <c r="B45"/>
      <c r="C45"/>
      <c r="D45"/>
      <c r="E45"/>
      <c r="F45"/>
      <c r="G45"/>
      <c r="H45"/>
      <c r="I45"/>
      <c r="J45"/>
      <c r="K45" s="15"/>
      <c r="L45"/>
      <c r="M45" s="1"/>
      <c r="N45"/>
    </row>
    <row r="46" spans="2:14" ht="6.95" customHeight="1" x14ac:dyDescent="0.2">
      <c r="L46" s="5"/>
    </row>
    <row r="47" spans="2:14" ht="15" customHeight="1" x14ac:dyDescent="0.2"/>
    <row r="48" spans="2:14" ht="15" customHeight="1" x14ac:dyDescent="0.2"/>
    <row r="49" spans="11:11" ht="15" customHeight="1" x14ac:dyDescent="0.2"/>
    <row r="53" spans="11:11" x14ac:dyDescent="0.2">
      <c r="K53" s="73"/>
    </row>
  </sheetData>
  <sheetProtection algorithmName="SHA-512" hashValue="EM5iMsBCKsUR7GjfPL/ls0v/9uvCiqSt3YMTWzlws91MhZdn8ndgdZJL1eF02xlDCfOqB5qhVzDVWKAqafzEng==" saltValue="/fzD5ijNYJLXpCytMi7Ssw==" spinCount="100000" sheet="1" objects="1" scenarios="1"/>
  <protectedRanges>
    <protectedRange sqref="S5 S8 S11 V5 V8 V11 H14:H25" name="Range2"/>
    <protectedRange sqref="S5 S8 S11 V5 V8 V11" name="Range1"/>
  </protectedRanges>
  <mergeCells count="14">
    <mergeCell ref="C29:D29"/>
    <mergeCell ref="C14:F14"/>
    <mergeCell ref="C15:F15"/>
    <mergeCell ref="C16:F16"/>
    <mergeCell ref="C17:F17"/>
    <mergeCell ref="C20:F20"/>
    <mergeCell ref="C18:F18"/>
    <mergeCell ref="C19:F19"/>
    <mergeCell ref="C21:F21"/>
    <mergeCell ref="D27:G27"/>
    <mergeCell ref="C22:F22"/>
    <mergeCell ref="C23:F23"/>
    <mergeCell ref="C24:F24"/>
    <mergeCell ref="C25:F25"/>
  </mergeCells>
  <hyperlinks>
    <hyperlink ref="L43:M43" r:id="rId1" display="nicsaco.com"/>
    <hyperlink ref="L43" r:id="rId2"/>
  </hyperlinks>
  <pageMargins left="0.7" right="0.7" top="0.75" bottom="0.75" header="0.3" footer="0.3"/>
  <pageSetup paperSize="9" scale="85" fitToHeight="0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NICSACO.COM!$E$22:$E$29</xm:f>
          </x14:formula1>
          <xm:sqref>V5</xm:sqref>
        </x14:dataValidation>
        <x14:dataValidation type="list" allowBlank="1" showInputMessage="1" showErrorMessage="1">
          <x14:formula1>
            <xm:f>NICSACO.COM!$C$22:$C$26</xm:f>
          </x14:formula1>
          <xm:sqref>V8</xm:sqref>
        </x14:dataValidation>
        <x14:dataValidation type="list" allowBlank="1" showInputMessage="1" showErrorMessage="1">
          <x14:formula1>
            <xm:f>NICSACO.COM!$H$2:$H$3</xm:f>
          </x14:formula1>
          <xm:sqref>H14:H25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B42" sqref="B42"/>
    </sheetView>
  </sheetViews>
  <sheetFormatPr defaultRowHeight="12.75" x14ac:dyDescent="0.2"/>
  <cols>
    <col min="1" max="1" width="19.7109375" style="91" customWidth="1"/>
    <col min="2" max="2" width="10.140625" style="92" bestFit="1" customWidth="1"/>
    <col min="3" max="3" width="11.28515625" style="91" bestFit="1" customWidth="1"/>
    <col min="4" max="4" width="12.5703125" style="91" customWidth="1"/>
    <col min="5" max="5" width="17.140625" style="91" customWidth="1"/>
    <col min="6" max="6" width="9.28515625" style="91" bestFit="1" customWidth="1"/>
    <col min="7" max="7" width="9.140625" style="91"/>
    <col min="8" max="8" width="9.28515625" style="91" bestFit="1" customWidth="1"/>
    <col min="9" max="9" width="12.85546875" style="91" bestFit="1" customWidth="1"/>
    <col min="10" max="11" width="9.28515625" style="91" bestFit="1" customWidth="1"/>
    <col min="12" max="16384" width="9.140625" style="91"/>
  </cols>
  <sheetData>
    <row r="2" spans="1:11" x14ac:dyDescent="0.2">
      <c r="H2" s="91">
        <v>1</v>
      </c>
    </row>
    <row r="3" spans="1:11" x14ac:dyDescent="0.2">
      <c r="A3" s="93">
        <f ca="1">TODAY()</f>
        <v>44688</v>
      </c>
      <c r="B3" s="94">
        <v>44896</v>
      </c>
      <c r="C3" s="95">
        <f ca="1">B3-A3</f>
        <v>208</v>
      </c>
      <c r="D3" s="95">
        <f ca="1">IF(C3&gt;0,1,0)</f>
        <v>1</v>
      </c>
      <c r="E3" s="91">
        <f>PROGRAMMING!S5</f>
        <v>64</v>
      </c>
      <c r="F3" s="96">
        <f ca="1">E3*1.2*D3</f>
        <v>76.8</v>
      </c>
      <c r="H3" s="91">
        <v>0</v>
      </c>
    </row>
    <row r="4" spans="1:11" x14ac:dyDescent="0.2">
      <c r="C4" s="95"/>
      <c r="D4" s="95"/>
      <c r="E4" s="91">
        <f>PROGRAMMING!S8</f>
        <v>40</v>
      </c>
      <c r="F4" s="96">
        <f ca="1">E4*D3</f>
        <v>40</v>
      </c>
    </row>
    <row r="5" spans="1:11" x14ac:dyDescent="0.2">
      <c r="B5" s="97"/>
      <c r="C5" s="95"/>
      <c r="D5" s="95"/>
      <c r="E5" s="91">
        <f>PROGRAMMING!S11</f>
        <v>0</v>
      </c>
      <c r="F5" s="96">
        <f ca="1">E5*1.2*D3</f>
        <v>0</v>
      </c>
    </row>
    <row r="6" spans="1:11" x14ac:dyDescent="0.2">
      <c r="F6" s="91">
        <f ca="1">SUM(F3:F5)</f>
        <v>116.8</v>
      </c>
    </row>
    <row r="7" spans="1:11" x14ac:dyDescent="0.2">
      <c r="J7" s="91">
        <v>1</v>
      </c>
      <c r="K7" s="91">
        <v>7</v>
      </c>
    </row>
    <row r="8" spans="1:11" x14ac:dyDescent="0.2">
      <c r="A8" s="98">
        <f ca="1">B8*$I$21*F31*C8</f>
        <v>540000000</v>
      </c>
      <c r="B8" s="97">
        <f ca="1">2*INT((3*L+I+V)+0.5)</f>
        <v>540</v>
      </c>
      <c r="C8" s="95">
        <f>PROGRAMMING!H14</f>
        <v>1</v>
      </c>
      <c r="D8" s="97"/>
      <c r="E8" s="95"/>
      <c r="F8" s="95">
        <v>1</v>
      </c>
      <c r="J8" s="91">
        <v>30</v>
      </c>
      <c r="K8" s="91">
        <v>10</v>
      </c>
    </row>
    <row r="9" spans="1:11" x14ac:dyDescent="0.2">
      <c r="A9" s="98">
        <f ca="1">B9*$I$21*C31*C9</f>
        <v>426000000</v>
      </c>
      <c r="B9" s="97">
        <f ca="1">2*INT((I+2.25*(V+L))+0.5)</f>
        <v>426</v>
      </c>
      <c r="C9" s="95">
        <f>PROGRAMMING!H15</f>
        <v>1</v>
      </c>
      <c r="D9" s="97"/>
      <c r="E9" s="95"/>
      <c r="F9" s="95">
        <v>2</v>
      </c>
      <c r="J9" s="91">
        <v>70</v>
      </c>
      <c r="K9" s="91">
        <v>20</v>
      </c>
    </row>
    <row r="10" spans="1:11" x14ac:dyDescent="0.2">
      <c r="A10" s="98">
        <f ca="1">B10*$I$21*1*C10</f>
        <v>27000000</v>
      </c>
      <c r="B10" s="97">
        <f ca="1">INT((0.064*(I+4*V+5*L))+0.5)</f>
        <v>27</v>
      </c>
      <c r="C10" s="95">
        <f>PROGRAMMING!H16</f>
        <v>1</v>
      </c>
      <c r="D10" s="97"/>
      <c r="E10" s="95"/>
      <c r="F10" s="95">
        <v>3</v>
      </c>
      <c r="J10" s="91">
        <v>110</v>
      </c>
      <c r="K10" s="91">
        <v>30</v>
      </c>
    </row>
    <row r="11" spans="1:11" x14ac:dyDescent="0.2">
      <c r="A11" s="98">
        <f ca="1">B11*$I$21*C11</f>
        <v>106000000</v>
      </c>
      <c r="B11" s="97">
        <f ca="1">INT((0.25*(I+4*V+5*L))+0.5)</f>
        <v>106</v>
      </c>
      <c r="C11" s="95">
        <f>PROGRAMMING!H17</f>
        <v>1</v>
      </c>
      <c r="D11" s="97"/>
      <c r="E11" s="95"/>
      <c r="F11" s="95">
        <v>4</v>
      </c>
      <c r="J11" s="91">
        <v>150</v>
      </c>
      <c r="K11" s="91">
        <v>40</v>
      </c>
    </row>
    <row r="12" spans="1:11" x14ac:dyDescent="0.2">
      <c r="A12" s="98">
        <f ca="1">B12*$I$21*C12</f>
        <v>21000000</v>
      </c>
      <c r="B12" s="97">
        <f ca="1">INT((0.05*(I+4*V+5*L))+0.5)</f>
        <v>21</v>
      </c>
      <c r="C12" s="95">
        <f>PROGRAMMING!H18</f>
        <v>1</v>
      </c>
      <c r="D12" s="97"/>
      <c r="E12" s="95"/>
      <c r="F12" s="95">
        <v>5</v>
      </c>
      <c r="J12" s="91">
        <v>200</v>
      </c>
      <c r="K12" s="91">
        <v>50</v>
      </c>
    </row>
    <row r="13" spans="1:11" x14ac:dyDescent="0.2">
      <c r="A13" s="98">
        <f ca="1">B13*$I$21*C13</f>
        <v>23000000</v>
      </c>
      <c r="B13" s="97">
        <f ca="1">INT((0.2*(L+I+V))+0.5)</f>
        <v>23</v>
      </c>
      <c r="C13" s="95">
        <f>PROGRAMMING!H19</f>
        <v>1</v>
      </c>
      <c r="D13" s="97"/>
      <c r="E13" s="95"/>
      <c r="F13" s="95">
        <v>6</v>
      </c>
      <c r="J13" s="91">
        <v>250</v>
      </c>
      <c r="K13" s="91">
        <v>60</v>
      </c>
    </row>
    <row r="14" spans="1:11" x14ac:dyDescent="0.2">
      <c r="A14" s="98">
        <f ca="1">B14*$I$21*C14</f>
        <v>58000000</v>
      </c>
      <c r="B14" s="97">
        <f ca="1">INT((0.5*(L+I+V))+0.5)</f>
        <v>58</v>
      </c>
      <c r="C14" s="95">
        <f>PROGRAMMING!H20</f>
        <v>1</v>
      </c>
      <c r="D14" s="97"/>
      <c r="E14" s="95"/>
      <c r="F14" s="95">
        <v>7</v>
      </c>
      <c r="J14" s="91">
        <v>300</v>
      </c>
      <c r="K14" s="91">
        <v>70</v>
      </c>
    </row>
    <row r="15" spans="1:11" x14ac:dyDescent="0.2">
      <c r="A15" s="98">
        <f ca="1">B15*$I$21*C15</f>
        <v>117000000</v>
      </c>
      <c r="B15" s="97">
        <f ca="1">INT((L+I+V)+0.5)</f>
        <v>117</v>
      </c>
      <c r="C15" s="95">
        <f>PROGRAMMING!H21</f>
        <v>1</v>
      </c>
      <c r="D15" s="97"/>
      <c r="E15" s="95"/>
      <c r="F15" s="95">
        <v>8</v>
      </c>
      <c r="J15" s="91">
        <v>450</v>
      </c>
      <c r="K15" s="91">
        <v>80</v>
      </c>
    </row>
    <row r="16" spans="1:11" x14ac:dyDescent="0.2">
      <c r="A16" s="98">
        <f ca="1">B16*$I$21*F31*C31*C16</f>
        <v>60000000</v>
      </c>
      <c r="B16" s="97">
        <f ca="1">I23*15</f>
        <v>60</v>
      </c>
      <c r="C16" s="95">
        <f>PROGRAMMING!H22</f>
        <v>1</v>
      </c>
      <c r="D16" s="97"/>
      <c r="E16" s="95"/>
      <c r="F16" s="95">
        <v>9</v>
      </c>
      <c r="J16" s="91">
        <v>600</v>
      </c>
      <c r="K16" s="91">
        <v>90</v>
      </c>
    </row>
    <row r="17" spans="1:11" x14ac:dyDescent="0.2">
      <c r="A17" s="98">
        <f ca="1">B17*$I$21*C17</f>
        <v>0</v>
      </c>
      <c r="B17" s="97">
        <f ca="1">3*I</f>
        <v>120</v>
      </c>
      <c r="C17" s="95">
        <f>PROGRAMMING!H23</f>
        <v>0</v>
      </c>
      <c r="D17" s="97"/>
      <c r="E17" s="95"/>
      <c r="F17" s="95">
        <v>10</v>
      </c>
      <c r="J17" s="91">
        <v>800</v>
      </c>
      <c r="K17" s="91">
        <v>110</v>
      </c>
    </row>
    <row r="18" spans="1:11" x14ac:dyDescent="0.2">
      <c r="A18" s="98">
        <f ca="1">B18*$I$21*C31*F31*C18</f>
        <v>90000000</v>
      </c>
      <c r="B18" s="97">
        <f ca="1">I22*30</f>
        <v>90</v>
      </c>
      <c r="C18" s="95">
        <f>PROGRAMMING!H24</f>
        <v>1</v>
      </c>
      <c r="D18" s="97"/>
      <c r="E18" s="95"/>
      <c r="F18" s="95">
        <v>11</v>
      </c>
      <c r="J18" s="91">
        <v>1000</v>
      </c>
      <c r="K18" s="91">
        <v>130</v>
      </c>
    </row>
    <row r="19" spans="1:11" x14ac:dyDescent="0.2">
      <c r="A19" s="98">
        <f ca="1">B19*$I$21*C31*F31*C19</f>
        <v>0</v>
      </c>
      <c r="B19" s="92">
        <f ca="1">I22*20</f>
        <v>60</v>
      </c>
      <c r="C19" s="95">
        <f>PROGRAMMING!H25</f>
        <v>0</v>
      </c>
      <c r="D19" s="97"/>
      <c r="E19" s="95"/>
      <c r="F19" s="95">
        <v>12</v>
      </c>
      <c r="J19" s="91">
        <v>1200</v>
      </c>
      <c r="K19" s="91">
        <v>150</v>
      </c>
    </row>
    <row r="20" spans="1:11" x14ac:dyDescent="0.2">
      <c r="A20" s="98">
        <f ca="1">SUM(A8:A19)</f>
        <v>1468000000</v>
      </c>
      <c r="J20" s="91">
        <v>1600</v>
      </c>
      <c r="K20" s="91">
        <v>180</v>
      </c>
    </row>
    <row r="21" spans="1:11" x14ac:dyDescent="0.2">
      <c r="I21" s="99">
        <v>1000000</v>
      </c>
      <c r="J21" s="91">
        <v>2000</v>
      </c>
      <c r="K21" s="91">
        <v>210</v>
      </c>
    </row>
    <row r="22" spans="1:11" x14ac:dyDescent="0.2">
      <c r="C22" s="91" t="s">
        <v>36</v>
      </c>
      <c r="D22" s="92">
        <v>1</v>
      </c>
      <c r="E22" s="91" t="s">
        <v>20</v>
      </c>
      <c r="F22" s="100">
        <v>1</v>
      </c>
      <c r="I22" s="92">
        <f ca="1">MIN(FIXED(LOG((I+L+V)^3)+0.5,0),FIXED((L+V+I)/50+0.5,0))</f>
        <v>3</v>
      </c>
      <c r="J22" s="91">
        <v>2400</v>
      </c>
      <c r="K22" s="91">
        <v>240</v>
      </c>
    </row>
    <row r="23" spans="1:11" x14ac:dyDescent="0.2">
      <c r="C23" s="91" t="s">
        <v>37</v>
      </c>
      <c r="D23" s="92">
        <v>1.5</v>
      </c>
      <c r="E23" s="91" t="s">
        <v>21</v>
      </c>
      <c r="F23" s="100">
        <v>1.5</v>
      </c>
      <c r="I23" s="92" t="str">
        <f ca="1">FIXED((L/2+V+I)/20+0.5,0)</f>
        <v>4</v>
      </c>
      <c r="J23" s="91">
        <v>3000</v>
      </c>
      <c r="K23" s="91">
        <v>280</v>
      </c>
    </row>
    <row r="24" spans="1:11" x14ac:dyDescent="0.2">
      <c r="C24" s="91" t="s">
        <v>38</v>
      </c>
      <c r="D24" s="92">
        <v>2</v>
      </c>
      <c r="E24" s="91" t="s">
        <v>22</v>
      </c>
      <c r="F24" s="100">
        <v>1.5</v>
      </c>
      <c r="I24" s="101">
        <f ca="1">MAX(J27,FIXED(F6/20,0))</f>
        <v>30</v>
      </c>
      <c r="J24" s="91">
        <v>3500</v>
      </c>
      <c r="K24" s="91">
        <v>320</v>
      </c>
    </row>
    <row r="25" spans="1:11" x14ac:dyDescent="0.2">
      <c r="C25" s="91" t="s">
        <v>39</v>
      </c>
      <c r="D25" s="92">
        <v>3</v>
      </c>
      <c r="E25" s="91" t="s">
        <v>23</v>
      </c>
      <c r="F25" s="100">
        <v>1.5</v>
      </c>
      <c r="J25" s="91">
        <v>4000</v>
      </c>
      <c r="K25" s="91">
        <v>360</v>
      </c>
    </row>
    <row r="26" spans="1:11" x14ac:dyDescent="0.2">
      <c r="C26" s="91" t="s">
        <v>40</v>
      </c>
      <c r="D26" s="92">
        <v>3</v>
      </c>
      <c r="E26" s="91" t="s">
        <v>24</v>
      </c>
      <c r="F26" s="100">
        <v>2</v>
      </c>
    </row>
    <row r="27" spans="1:11" x14ac:dyDescent="0.2">
      <c r="E27" s="91" t="s">
        <v>25</v>
      </c>
      <c r="F27" s="100">
        <v>2</v>
      </c>
      <c r="J27" s="91">
        <f ca="1">LOOKUP(F6,J7:J25,K7:K25)</f>
        <v>30</v>
      </c>
    </row>
    <row r="28" spans="1:11" x14ac:dyDescent="0.2">
      <c r="E28" s="91" t="s">
        <v>26</v>
      </c>
      <c r="F28" s="100">
        <v>2</v>
      </c>
    </row>
    <row r="29" spans="1:11" x14ac:dyDescent="0.2">
      <c r="E29" s="91" t="s">
        <v>42</v>
      </c>
      <c r="F29" s="100">
        <v>1.5</v>
      </c>
    </row>
    <row r="31" spans="1:11" x14ac:dyDescent="0.2">
      <c r="C31" s="91">
        <f>VLOOKUP(PROGRAMMING!V8,NICSACO.COM!C22:D26,2,FALSE)</f>
        <v>1</v>
      </c>
      <c r="F31" s="91">
        <f>VLOOKUP(PROGRAMMING!V5,NICSACO.COM!E22:F29,2,FALSE)</f>
        <v>1</v>
      </c>
    </row>
    <row r="32" spans="1:11" x14ac:dyDescent="0.2">
      <c r="B32" s="102"/>
      <c r="C32" s="102"/>
    </row>
    <row r="33" spans="2:4" x14ac:dyDescent="0.2">
      <c r="B33" s="100"/>
      <c r="C33" s="93"/>
      <c r="D33" s="93"/>
    </row>
    <row r="34" spans="2:4" x14ac:dyDescent="0.2">
      <c r="B34" s="92" t="s">
        <v>55</v>
      </c>
    </row>
    <row r="35" spans="2:4" x14ac:dyDescent="0.2">
      <c r="B35" s="103" t="s">
        <v>56</v>
      </c>
    </row>
  </sheetData>
  <sheetProtection algorithmName="SHA-512" hashValue="g70UFwMthX9hZgErBFKUPcJpgqUqgth27zgWOlsbuH8pwGn+dLvp6CSj6sNX+fJVdnVCldBpaOtTOfahMl3jbQ==" saltValue="2fqXKq/jeN8rvQseRLHu0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PROGRAMMING</vt:lpstr>
      <vt:lpstr>NICSACO.COM</vt:lpstr>
      <vt:lpstr>I</vt:lpstr>
      <vt:lpstr>L</vt:lpstr>
      <vt:lpstr>PROGRAMMING!Print_Area</vt:lpstr>
      <vt:lpstr>V</vt:lpstr>
    </vt:vector>
  </TitlesOfParts>
  <Company>Free 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Mohsen Ashouri</dc:creator>
  <cp:lastModifiedBy>Simin Ansari</cp:lastModifiedBy>
  <cp:lastPrinted>2021-09-04T09:58:03Z</cp:lastPrinted>
  <dcterms:created xsi:type="dcterms:W3CDTF">2000-10-24T04:37:10Z</dcterms:created>
  <dcterms:modified xsi:type="dcterms:W3CDTF">2022-05-07T11:41:29Z</dcterms:modified>
</cp:coreProperties>
</file>