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rchives\1-Nicsa service site\Website\02-nicsa website\Content -NICSA\download page\"/>
    </mc:Choice>
  </mc:AlternateContent>
  <bookViews>
    <workbookView xWindow="0" yWindow="0" windowWidth="28800" windowHeight="12330"/>
  </bookViews>
  <sheets>
    <sheet name="Cable Cal" sheetId="2" r:id="rId1"/>
    <sheet name="CAL" sheetId="5" state="hidden" r:id="rId2"/>
  </sheets>
  <definedNames>
    <definedName name="_xlnm.Print_Area" localSheetId="0">'Cable Cal'!$B$2:$Y$38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4" i="5" l="1"/>
  <c r="U1" i="5"/>
  <c r="U9" i="5" l="1"/>
  <c r="P11" i="5" s="1"/>
  <c r="U8" i="5"/>
  <c r="R13" i="5" s="1"/>
  <c r="U6" i="5"/>
  <c r="U5" i="5"/>
  <c r="U4" i="5"/>
  <c r="I3" i="5" s="1"/>
  <c r="U3" i="5"/>
  <c r="U11" i="5"/>
  <c r="N13" i="5"/>
  <c r="Q51" i="5"/>
  <c r="V4" i="5"/>
  <c r="V5" i="5"/>
  <c r="V3" i="5"/>
  <c r="P4" i="5" s="1"/>
  <c r="G11" i="2" s="1"/>
  <c r="N11" i="5" l="1"/>
  <c r="O7" i="5"/>
  <c r="O8" i="5"/>
  <c r="O6" i="5"/>
  <c r="O11" i="5" s="1"/>
  <c r="V6" i="5"/>
  <c r="E18" i="2" s="1"/>
  <c r="O18" i="5" l="1"/>
  <c r="O16" i="5"/>
  <c r="O15" i="5" s="1"/>
  <c r="O17" i="5"/>
  <c r="AE20" i="5" l="1"/>
  <c r="AE21" i="5"/>
  <c r="AE22" i="5"/>
  <c r="AE23" i="5"/>
  <c r="AE24" i="5"/>
  <c r="AE25" i="5"/>
  <c r="AE26" i="5"/>
  <c r="AE27" i="5"/>
  <c r="AE28" i="5"/>
  <c r="AE29" i="5"/>
  <c r="AE30" i="5"/>
  <c r="AE31" i="5"/>
  <c r="AE32" i="5"/>
  <c r="AE3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" i="5"/>
  <c r="O51" i="5"/>
  <c r="Q63" i="5"/>
  <c r="Q61" i="5"/>
  <c r="X54" i="5" s="1"/>
  <c r="Q57" i="5"/>
  <c r="V52" i="5" s="1"/>
  <c r="Q56" i="5"/>
  <c r="T54" i="5" s="1"/>
  <c r="N63" i="5"/>
  <c r="N80" i="5" s="1"/>
  <c r="N61" i="5"/>
  <c r="X63" i="5" s="1"/>
  <c r="N57" i="5"/>
  <c r="V61" i="5" s="1"/>
  <c r="N56" i="5"/>
  <c r="T63" i="5" s="1"/>
  <c r="N51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2" i="5"/>
  <c r="Y29" i="5"/>
  <c r="Y27" i="5"/>
  <c r="Y25" i="5"/>
  <c r="Y23" i="5"/>
  <c r="Y21" i="5"/>
  <c r="Y19" i="5"/>
  <c r="Y17" i="5"/>
  <c r="Y15" i="5"/>
  <c r="Y13" i="5"/>
  <c r="Y11" i="5"/>
  <c r="Y9" i="5"/>
  <c r="Y7" i="5"/>
  <c r="Y5" i="5"/>
  <c r="Y3" i="5"/>
  <c r="P10" i="2" l="1"/>
  <c r="K82" i="5"/>
  <c r="N82" i="5" s="1"/>
  <c r="L32" i="2" s="1"/>
  <c r="N65" i="5" s="1"/>
  <c r="L82" i="5"/>
  <c r="K81" i="5"/>
  <c r="N81" i="5" s="1"/>
  <c r="L81" i="5"/>
  <c r="Q80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29" i="5"/>
  <c r="N16" i="5"/>
  <c r="W31" i="5" s="1"/>
  <c r="S36" i="5"/>
  <c r="O12" i="5"/>
  <c r="S44" i="5"/>
  <c r="S43" i="5"/>
  <c r="S42" i="5"/>
  <c r="S41" i="5"/>
  <c r="S40" i="5"/>
  <c r="S39" i="5"/>
  <c r="S38" i="5"/>
  <c r="S37" i="5"/>
  <c r="S35" i="5"/>
  <c r="S34" i="5"/>
  <c r="S33" i="5"/>
  <c r="S32" i="5"/>
  <c r="S31" i="5"/>
  <c r="S30" i="5"/>
  <c r="S29" i="5"/>
  <c r="S28" i="5"/>
  <c r="S27" i="5"/>
  <c r="S26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L31" i="2" l="1"/>
  <c r="N64" i="5" s="1"/>
  <c r="Q81" i="5"/>
  <c r="T31" i="2" s="1"/>
  <c r="Q64" i="5" s="1"/>
  <c r="T52" i="5" s="1"/>
  <c r="Q82" i="5"/>
  <c r="T32" i="2" s="1"/>
  <c r="Q65" i="5" s="1"/>
  <c r="W48" i="5"/>
  <c r="W44" i="5"/>
  <c r="W40" i="5"/>
  <c r="W36" i="5"/>
  <c r="W32" i="5"/>
  <c r="W29" i="5"/>
  <c r="W46" i="5"/>
  <c r="W42" i="5"/>
  <c r="W38" i="5"/>
  <c r="W34" i="5"/>
  <c r="W30" i="5"/>
  <c r="W49" i="5"/>
  <c r="W47" i="5"/>
  <c r="W45" i="5"/>
  <c r="W43" i="5"/>
  <c r="W41" i="5"/>
  <c r="W39" i="5"/>
  <c r="W37" i="5"/>
  <c r="W35" i="5"/>
  <c r="W33" i="5"/>
  <c r="D3" i="5"/>
  <c r="D4" i="5"/>
  <c r="E4" i="5" s="1"/>
  <c r="D5" i="5"/>
  <c r="D6" i="5"/>
  <c r="E6" i="5" s="1"/>
  <c r="D7" i="5"/>
  <c r="D8" i="5"/>
  <c r="E8" i="5" s="1"/>
  <c r="D9" i="5"/>
  <c r="D10" i="5"/>
  <c r="E10" i="5" s="1"/>
  <c r="D11" i="5"/>
  <c r="D12" i="5"/>
  <c r="E12" i="5" s="1"/>
  <c r="D13" i="5"/>
  <c r="D14" i="5"/>
  <c r="E14" i="5" s="1"/>
  <c r="D15" i="5"/>
  <c r="D16" i="5"/>
  <c r="E16" i="5" s="1"/>
  <c r="D17" i="5"/>
  <c r="D18" i="5"/>
  <c r="E18" i="5" s="1"/>
  <c r="D19" i="5"/>
  <c r="D20" i="5"/>
  <c r="E20" i="5" s="1"/>
  <c r="D21" i="5"/>
  <c r="D22" i="5"/>
  <c r="E22" i="5" s="1"/>
  <c r="D23" i="5"/>
  <c r="D24" i="5"/>
  <c r="E24" i="5" s="1"/>
  <c r="D25" i="5"/>
  <c r="D26" i="5"/>
  <c r="E26" i="5" s="1"/>
  <c r="D27" i="5"/>
  <c r="D28" i="5"/>
  <c r="E28" i="5" s="1"/>
  <c r="D29" i="5"/>
  <c r="D30" i="5"/>
  <c r="E30" i="5" s="1"/>
  <c r="D31" i="5"/>
  <c r="D32" i="5"/>
  <c r="E32" i="5" s="1"/>
  <c r="D33" i="5"/>
  <c r="D34" i="5"/>
  <c r="E34" i="5" s="1"/>
  <c r="D35" i="5"/>
  <c r="D36" i="5"/>
  <c r="E36" i="5" s="1"/>
  <c r="D37" i="5"/>
  <c r="D38" i="5"/>
  <c r="E38" i="5" s="1"/>
  <c r="D39" i="5"/>
  <c r="D40" i="5"/>
  <c r="E40" i="5" s="1"/>
  <c r="D41" i="5"/>
  <c r="D42" i="5"/>
  <c r="E42" i="5" s="1"/>
  <c r="D43" i="5"/>
  <c r="D44" i="5"/>
  <c r="E44" i="5" s="1"/>
  <c r="D2" i="5"/>
  <c r="L83" i="5" l="1"/>
  <c r="K83" i="5"/>
  <c r="T61" i="5"/>
  <c r="T66" i="5" s="1"/>
  <c r="T57" i="5"/>
  <c r="Q83" i="5"/>
  <c r="H2" i="5"/>
  <c r="G2" i="5"/>
  <c r="H43" i="5"/>
  <c r="G43" i="5"/>
  <c r="H41" i="5"/>
  <c r="G41" i="5"/>
  <c r="H39" i="5"/>
  <c r="G39" i="5"/>
  <c r="H37" i="5"/>
  <c r="G37" i="5"/>
  <c r="H35" i="5"/>
  <c r="G35" i="5"/>
  <c r="H33" i="5"/>
  <c r="G33" i="5"/>
  <c r="H31" i="5"/>
  <c r="G31" i="5"/>
  <c r="H29" i="5"/>
  <c r="G29" i="5"/>
  <c r="H27" i="5"/>
  <c r="G27" i="5"/>
  <c r="H25" i="5"/>
  <c r="G25" i="5"/>
  <c r="H23" i="5"/>
  <c r="G23" i="5"/>
  <c r="H21" i="5"/>
  <c r="G21" i="5"/>
  <c r="H19" i="5"/>
  <c r="G19" i="5"/>
  <c r="H17" i="5"/>
  <c r="G17" i="5"/>
  <c r="H15" i="5"/>
  <c r="G15" i="5"/>
  <c r="H13" i="5"/>
  <c r="G13" i="5"/>
  <c r="H11" i="5"/>
  <c r="G11" i="5"/>
  <c r="H9" i="5"/>
  <c r="G9" i="5"/>
  <c r="H7" i="5"/>
  <c r="G7" i="5"/>
  <c r="H5" i="5"/>
  <c r="G5" i="5"/>
  <c r="H3" i="5"/>
  <c r="G3" i="5"/>
  <c r="G44" i="5"/>
  <c r="H44" i="5"/>
  <c r="G42" i="5"/>
  <c r="H42" i="5"/>
  <c r="H40" i="5"/>
  <c r="G40" i="5"/>
  <c r="H38" i="5"/>
  <c r="G38" i="5"/>
  <c r="H36" i="5"/>
  <c r="G36" i="5"/>
  <c r="H34" i="5"/>
  <c r="G34" i="5"/>
  <c r="H32" i="5"/>
  <c r="G32" i="5"/>
  <c r="H30" i="5"/>
  <c r="G30" i="5"/>
  <c r="H28" i="5"/>
  <c r="G28" i="5"/>
  <c r="H26" i="5"/>
  <c r="G26" i="5"/>
  <c r="H24" i="5"/>
  <c r="G24" i="5"/>
  <c r="H22" i="5"/>
  <c r="G22" i="5"/>
  <c r="H20" i="5"/>
  <c r="G20" i="5"/>
  <c r="H18" i="5"/>
  <c r="G18" i="5"/>
  <c r="H16" i="5"/>
  <c r="G16" i="5"/>
  <c r="H14" i="5"/>
  <c r="G14" i="5"/>
  <c r="H12" i="5"/>
  <c r="G12" i="5"/>
  <c r="H10" i="5"/>
  <c r="G10" i="5"/>
  <c r="H8" i="5"/>
  <c r="G8" i="5"/>
  <c r="H6" i="5"/>
  <c r="G6" i="5"/>
  <c r="H4" i="5"/>
  <c r="G4" i="5"/>
  <c r="E2" i="5"/>
  <c r="E43" i="5"/>
  <c r="E41" i="5"/>
  <c r="E39" i="5"/>
  <c r="E37" i="5"/>
  <c r="E35" i="5"/>
  <c r="E33" i="5"/>
  <c r="E31" i="5"/>
  <c r="E29" i="5"/>
  <c r="E27" i="5"/>
  <c r="E25" i="5"/>
  <c r="E23" i="5"/>
  <c r="E21" i="5"/>
  <c r="E19" i="5"/>
  <c r="E17" i="5"/>
  <c r="E15" i="5"/>
  <c r="E13" i="5"/>
  <c r="E11" i="5"/>
  <c r="E9" i="5"/>
  <c r="E7" i="5"/>
  <c r="E5" i="5"/>
  <c r="E3" i="5"/>
  <c r="N83" i="5" l="1"/>
  <c r="Q84" i="5"/>
  <c r="P72" i="5" s="1"/>
  <c r="U52" i="5"/>
  <c r="Q70" i="5"/>
  <c r="T13" i="2" s="1"/>
  <c r="T33" i="2"/>
  <c r="U61" i="5" l="1"/>
  <c r="N70" i="5"/>
  <c r="L13" i="2" s="1"/>
  <c r="L33" i="2"/>
  <c r="N72" i="5"/>
  <c r="L18" i="2" s="1"/>
  <c r="R72" i="5"/>
  <c r="U17" i="2" s="1"/>
  <c r="U56" i="5"/>
  <c r="U53" i="5"/>
  <c r="U54" i="5" s="1"/>
  <c r="U66" i="5" l="1"/>
  <c r="U65" i="5" s="1"/>
  <c r="U63" i="5"/>
  <c r="U67" i="5"/>
  <c r="S17" i="2"/>
  <c r="Q72" i="5"/>
  <c r="T17" i="2" s="1"/>
  <c r="V55" i="5"/>
  <c r="V56" i="5" s="1"/>
  <c r="V54" i="5"/>
  <c r="W54" i="5"/>
  <c r="W63" i="5" l="1"/>
  <c r="V64" i="5"/>
  <c r="V65" i="5" s="1"/>
  <c r="X65" i="5" s="1"/>
  <c r="V63" i="5"/>
  <c r="W56" i="5"/>
  <c r="X56" i="5"/>
  <c r="W65" i="5" l="1"/>
  <c r="X66" i="5"/>
  <c r="W66" i="5"/>
  <c r="AA65" i="5" s="1"/>
  <c r="AB65" i="5"/>
  <c r="X57" i="5"/>
  <c r="W57" i="5"/>
  <c r="AA56" i="5" s="1"/>
  <c r="Z65" i="5" l="1"/>
  <c r="N77" i="5" s="1"/>
  <c r="L24" i="2" s="1"/>
  <c r="Y63" i="5"/>
  <c r="L26" i="2" s="1"/>
  <c r="Z56" i="5"/>
  <c r="AB59" i="5"/>
  <c r="AA59" i="5"/>
  <c r="Z59" i="5" s="1"/>
  <c r="AB56" i="5"/>
  <c r="Y54" i="5"/>
  <c r="AA54" i="5" s="1"/>
  <c r="O13" i="5"/>
  <c r="Q77" i="5" l="1"/>
  <c r="T24" i="2" s="1"/>
  <c r="Q79" i="5"/>
  <c r="T26" i="2" s="1"/>
  <c r="P13" i="5"/>
  <c r="P14" i="5"/>
  <c r="P15" i="5" s="1"/>
  <c r="Q13" i="5"/>
  <c r="Q15" i="5" l="1"/>
  <c r="R15" i="5"/>
  <c r="R16" i="5" l="1"/>
  <c r="Q16" i="5"/>
  <c r="U15" i="5" s="1"/>
  <c r="S13" i="5" l="1"/>
  <c r="U12" i="5" s="1"/>
  <c r="V15" i="5"/>
  <c r="T15" i="5" l="1"/>
  <c r="D25" i="2" s="1"/>
  <c r="D26" i="2"/>
  <c r="U13" i="5"/>
</calcChain>
</file>

<file path=xl/sharedStrings.xml><?xml version="1.0" encoding="utf-8"?>
<sst xmlns="http://schemas.openxmlformats.org/spreadsheetml/2006/main" count="88" uniqueCount="50">
  <si>
    <t>http://www.nicsaco.com</t>
  </si>
  <si>
    <t>1PH</t>
  </si>
  <si>
    <t>3PH</t>
  </si>
  <si>
    <t>%</t>
  </si>
  <si>
    <t>kW</t>
  </si>
  <si>
    <t>A</t>
  </si>
  <si>
    <t>Voltage(V)</t>
  </si>
  <si>
    <t>دما</t>
  </si>
  <si>
    <t>x</t>
  </si>
  <si>
    <t>pvc</t>
  </si>
  <si>
    <t>xlpe</t>
  </si>
  <si>
    <t>sin</t>
  </si>
  <si>
    <t>``</t>
  </si>
  <si>
    <t>متراژ کابل</t>
  </si>
  <si>
    <t>ضریب توان</t>
  </si>
  <si>
    <t>دما محیط</t>
  </si>
  <si>
    <t>افت ولتاژ مجاز</t>
  </si>
  <si>
    <t>/3PH/50Hz</t>
  </si>
  <si>
    <t>Power:</t>
  </si>
  <si>
    <t>Cos(Pi):</t>
  </si>
  <si>
    <t>Current:</t>
  </si>
  <si>
    <t>Efficiency:</t>
  </si>
  <si>
    <t>TMB(A)</t>
  </si>
  <si>
    <t>KC1(A)</t>
  </si>
  <si>
    <t>KC2(A)</t>
  </si>
  <si>
    <t>KC3(A)</t>
  </si>
  <si>
    <t>NYY Cable size:(mm2)</t>
  </si>
  <si>
    <t>دمای محیط</t>
  </si>
  <si>
    <t>C</t>
  </si>
  <si>
    <t>m</t>
  </si>
  <si>
    <t>افت ولتاژمجاز</t>
  </si>
  <si>
    <t>No.Phase</t>
  </si>
  <si>
    <t xml:space="preserve"> </t>
  </si>
  <si>
    <t>Star-Delta Motor Calculation Sheet</t>
  </si>
  <si>
    <t>D.O.L. Motor Calculation Sheet</t>
  </si>
  <si>
    <t>DC</t>
  </si>
  <si>
    <t>نوع ولتاژ</t>
  </si>
  <si>
    <t>ولتاژ خط</t>
  </si>
  <si>
    <t>V</t>
  </si>
  <si>
    <t>W</t>
  </si>
  <si>
    <t>توان/جریان عبوری</t>
  </si>
  <si>
    <t>Cable AC/DC Calculation Sheet</t>
  </si>
  <si>
    <t>افت ولتاژ کابل</t>
  </si>
  <si>
    <t>M01</t>
  </si>
  <si>
    <t>Motor No.1</t>
  </si>
  <si>
    <t>M02</t>
  </si>
  <si>
    <t>Motor No.2</t>
  </si>
  <si>
    <t>P01</t>
  </si>
  <si>
    <t>Lighting Panel No.1</t>
  </si>
  <si>
    <t>برای محاسبه سایز کابل موتورهایی که توسط سافت استارتر و یا اینورتر راه اندازی می شوند می توانید از Sheet مربوط به راه اندازی بصورت DOL استفاده نمایید.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</si>
</sst>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  <charset val="178"/>
    </font>
    <font>
      <b/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Andalus"/>
      <family val="1"/>
    </font>
    <font>
      <b/>
      <sz val="14"/>
      <color theme="1"/>
      <name val="Andalus"/>
      <family val="1"/>
    </font>
    <font>
      <b/>
      <sz val="14"/>
      <color theme="1" tint="0.249977111117893"/>
      <name val="Andalus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left" vertical="center"/>
    </xf>
    <xf numFmtId="0" fontId="0" fillId="4" borderId="2" xfId="0" applyNumberFormat="1" applyFill="1" applyBorder="1" applyAlignment="1">
      <alignment horizontal="left" vertical="center"/>
    </xf>
    <xf numFmtId="0" fontId="0" fillId="4" borderId="2" xfId="0" applyNumberForma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NumberFormat="1" applyFill="1" applyBorder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3" borderId="0" xfId="0" applyNumberForma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left" vertical="center"/>
    </xf>
    <xf numFmtId="0" fontId="18" fillId="5" borderId="0" xfId="0" applyNumberFormat="1" applyFont="1" applyFill="1" applyBorder="1" applyAlignment="1">
      <alignment horizontal="center" vertical="center"/>
    </xf>
    <xf numFmtId="0" fontId="18" fillId="5" borderId="0" xfId="0" applyNumberFormat="1" applyFont="1" applyFill="1" applyBorder="1" applyAlignment="1">
      <alignment horizontal="left" vertical="center"/>
    </xf>
    <xf numFmtId="0" fontId="20" fillId="5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left" vertical="center"/>
    </xf>
    <xf numFmtId="0" fontId="18" fillId="0" borderId="0" xfId="0" applyNumberFormat="1" applyFont="1" applyAlignment="1">
      <alignment horizontal="left" vertical="center"/>
    </xf>
    <xf numFmtId="49" fontId="0" fillId="3" borderId="0" xfId="0" applyNumberForma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hyperlink" Target="https://atlaspart.co/wp-content/uploads/2016/07/APD50A.pdf" TargetMode="External"/><Relationship Id="rId18" Type="http://schemas.openxmlformats.org/officeDocument/2006/relationships/hyperlink" Target="https://atlaspart.co/wp-content/uploads/2016/07/APD88P.pdf" TargetMode="External"/><Relationship Id="rId26" Type="http://schemas.openxmlformats.org/officeDocument/2006/relationships/hyperlink" Target="https://atlaspart.co/wp-content/uploads/2016/07/APD165P.pdf" TargetMode="External"/><Relationship Id="rId3" Type="http://schemas.openxmlformats.org/officeDocument/2006/relationships/hyperlink" Target="https://atlaspart.co/wp-content/uploads/2016/07/APD16A.pdf" TargetMode="External"/><Relationship Id="rId21" Type="http://schemas.openxmlformats.org/officeDocument/2006/relationships/hyperlink" Target="https://atlaspart.co/wp-content/uploads/2016/07/APD110PE.pdf" TargetMode="External"/><Relationship Id="rId34" Type="http://schemas.openxmlformats.org/officeDocument/2006/relationships/hyperlink" Target="https://atlaspart.co/wp-content/uploads/2016/07/APD1650P.pdf" TargetMode="External"/><Relationship Id="rId7" Type="http://schemas.openxmlformats.org/officeDocument/2006/relationships/hyperlink" Target="https://atlaspart.co/wp-content/uploads/2016/07/APD30C.pdf" TargetMode="External"/><Relationship Id="rId12" Type="http://schemas.openxmlformats.org/officeDocument/2006/relationships/hyperlink" Target="https://atlaspart.co/wp-content/uploads/2016/07/APD50P.pdf" TargetMode="External"/><Relationship Id="rId17" Type="http://schemas.openxmlformats.org/officeDocument/2006/relationships/hyperlink" Target="https://atlaspart.co/wp-content/uploads/2016/07/APD72P.pdf" TargetMode="External"/><Relationship Id="rId25" Type="http://schemas.openxmlformats.org/officeDocument/2006/relationships/hyperlink" Target="https://atlaspart.co/wp-content/uploads/2016/07/APD150A.pdf" TargetMode="External"/><Relationship Id="rId33" Type="http://schemas.openxmlformats.org/officeDocument/2006/relationships/hyperlink" Target="https://atlaspart.co/wp-content/uploads/2016/07/APD220A.pdf" TargetMode="External"/><Relationship Id="rId2" Type="http://schemas.openxmlformats.org/officeDocument/2006/relationships/hyperlink" Target="https://atlaspart.co/wp-content/uploads/2016/07/APD12A.pdf" TargetMode="External"/><Relationship Id="rId16" Type="http://schemas.openxmlformats.org/officeDocument/2006/relationships/hyperlink" Target="https://atlaspart.co/wp-content/uploads/2016/07/APD70A.pdf" TargetMode="External"/><Relationship Id="rId20" Type="http://schemas.openxmlformats.org/officeDocument/2006/relationships/hyperlink" Target="https://atlaspart.co/wp-content/uploads/2016/07/APD110C.pdf" TargetMode="External"/><Relationship Id="rId29" Type="http://schemas.openxmlformats.org/officeDocument/2006/relationships/hyperlink" Target="https://atlaspart.co/wp-content/uploads/2016/07/APD200P.pdf" TargetMode="External"/><Relationship Id="rId1" Type="http://schemas.openxmlformats.org/officeDocument/2006/relationships/hyperlink" Target="https://atlaspart.co/wp-content/uploads/2016/07/APD10PE.pdf" TargetMode="External"/><Relationship Id="rId6" Type="http://schemas.openxmlformats.org/officeDocument/2006/relationships/hyperlink" Target="https://atlaspart.co/wp-content/uploads/2016/07/APD25A.pdf" TargetMode="External"/><Relationship Id="rId11" Type="http://schemas.openxmlformats.org/officeDocument/2006/relationships/hyperlink" Target="https://atlaspart.co/wp-content/uploads/2016/07/APD43C.pdf" TargetMode="External"/><Relationship Id="rId24" Type="http://schemas.openxmlformats.org/officeDocument/2006/relationships/hyperlink" Target="https://atlaspart.co/wp-content/uploads/2016/07/APD150P.pdf" TargetMode="External"/><Relationship Id="rId32" Type="http://schemas.openxmlformats.org/officeDocument/2006/relationships/hyperlink" Target="https://atlaspart.co/wp-content/uploads/2016/07/APD220C.pdf" TargetMode="External"/><Relationship Id="rId5" Type="http://schemas.openxmlformats.org/officeDocument/2006/relationships/hyperlink" Target="https://atlaspart.co/wp-content/uploads/2016/07/APD22PE.pdf" TargetMode="External"/><Relationship Id="rId15" Type="http://schemas.openxmlformats.org/officeDocument/2006/relationships/hyperlink" Target="https://atlaspart.co/wp-content/uploads/2016/07/APD66C.pdf" TargetMode="External"/><Relationship Id="rId23" Type="http://schemas.openxmlformats.org/officeDocument/2006/relationships/hyperlink" Target="https://atlaspart.co/wp-content/uploads/2016/07/APD145C.pdf" TargetMode="External"/><Relationship Id="rId28" Type="http://schemas.openxmlformats.org/officeDocument/2006/relationships/hyperlink" Target="https://atlaspart.co/wp-content/uploads/2016/07/APD200C.pdf" TargetMode="External"/><Relationship Id="rId10" Type="http://schemas.openxmlformats.org/officeDocument/2006/relationships/hyperlink" Target="https://atlaspart.co/wp-content/uploads/2016/07/APD40A.pdf" TargetMode="External"/><Relationship Id="rId19" Type="http://schemas.openxmlformats.org/officeDocument/2006/relationships/hyperlink" Target="https://atlaspart.co/wp-content/uploads/2016/07/APD90A.pdf" TargetMode="External"/><Relationship Id="rId31" Type="http://schemas.openxmlformats.org/officeDocument/2006/relationships/hyperlink" Target="https://atlaspart.co/wp-content/uploads/2016/07/APD220PE.pdf" TargetMode="External"/><Relationship Id="rId4" Type="http://schemas.openxmlformats.org/officeDocument/2006/relationships/hyperlink" Target="https://atlaspart.co/wp-content/uploads/2016/07/APD20A.pdf" TargetMode="External"/><Relationship Id="rId9" Type="http://schemas.openxmlformats.org/officeDocument/2006/relationships/hyperlink" Target="https://atlaspart.co/wp-content/uploads/2016/07/APD33A.pdf" TargetMode="External"/><Relationship Id="rId14" Type="http://schemas.openxmlformats.org/officeDocument/2006/relationships/hyperlink" Target="https://atlaspart.co/wp-content/uploads/2016/07/APD66P.pdf" TargetMode="External"/><Relationship Id="rId22" Type="http://schemas.openxmlformats.org/officeDocument/2006/relationships/hyperlink" Target="https://atlaspart.co/wp-content/uploads/2016/07/APD125A.pdf" TargetMode="External"/><Relationship Id="rId27" Type="http://schemas.openxmlformats.org/officeDocument/2006/relationships/hyperlink" Target="https://atlaspart.co/wp-content/uploads/2016/07/APD175C.pdf" TargetMode="External"/><Relationship Id="rId30" Type="http://schemas.openxmlformats.org/officeDocument/2006/relationships/hyperlink" Target="https://atlaspart.co/wp-content/uploads/2016/07/APD220P.pdf" TargetMode="External"/><Relationship Id="rId35" Type="http://schemas.openxmlformats.org/officeDocument/2006/relationships/hyperlink" Target="https://atlaspart.co/wp-content/uploads/2016/07/AC1675.pdf" TargetMode="External"/><Relationship Id="rId8" Type="http://schemas.openxmlformats.org/officeDocument/2006/relationships/hyperlink" Target="https://atlaspart.co/wp-content/uploads/2016/07/APD33P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559593</xdr:colOff>
      <xdr:row>1</xdr:row>
      <xdr:rowOff>114300</xdr:rowOff>
    </xdr:from>
    <xdr:to>
      <xdr:col>24</xdr:col>
      <xdr:colOff>212313</xdr:colOff>
      <xdr:row>6</xdr:row>
      <xdr:rowOff>47625</xdr:rowOff>
    </xdr:to>
    <xdr:pic>
      <xdr:nvPicPr>
        <xdr:cNvPr id="2" name="Picture 1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3531" y="185738"/>
          <a:ext cx="2569751" cy="10644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440532</xdr:colOff>
      <xdr:row>2</xdr:row>
      <xdr:rowOff>200024</xdr:rowOff>
    </xdr:from>
    <xdr:to>
      <xdr:col>4</xdr:col>
      <xdr:colOff>437329</xdr:colOff>
      <xdr:row>3</xdr:row>
      <xdr:rowOff>250030</xdr:rowOff>
    </xdr:to>
    <xdr:pic>
      <xdr:nvPicPr>
        <xdr:cNvPr id="3" name="Picture 2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6" y="497680"/>
          <a:ext cx="2735234" cy="276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464344</xdr:colOff>
      <xdr:row>4</xdr:row>
      <xdr:rowOff>23812</xdr:rowOff>
    </xdr:from>
    <xdr:to>
      <xdr:col>3</xdr:col>
      <xdr:colOff>220328</xdr:colOff>
      <xdr:row>5</xdr:row>
      <xdr:rowOff>95250</xdr:rowOff>
    </xdr:to>
    <xdr:pic>
      <xdr:nvPicPr>
        <xdr:cNvPr id="4" name="Picture 3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4" y="809625"/>
          <a:ext cx="1244265" cy="2619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257734</xdr:colOff>
      <xdr:row>10</xdr:row>
      <xdr:rowOff>22410</xdr:rowOff>
    </xdr:from>
    <xdr:to>
      <xdr:col>15</xdr:col>
      <xdr:colOff>483167</xdr:colOff>
      <xdr:row>30</xdr:row>
      <xdr:rowOff>67236</xdr:rowOff>
    </xdr:to>
    <xdr:pic>
      <xdr:nvPicPr>
        <xdr:cNvPr id="5" name="Picture 4" descr="Screen Clippi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8793" y="2173939"/>
          <a:ext cx="1390844" cy="4975414"/>
        </a:xfrm>
        <a:prstGeom prst="rect">
          <a:avLst/>
        </a:prstGeom>
      </xdr:spPr>
    </xdr:pic>
    <xdr:clientData/>
  </xdr:twoCellAnchor>
  <xdr:twoCellAnchor editAs="oneCell">
    <xdr:from>
      <xdr:col>21</xdr:col>
      <xdr:colOff>246530</xdr:colOff>
      <xdr:row>10</xdr:row>
      <xdr:rowOff>56029</xdr:rowOff>
    </xdr:from>
    <xdr:to>
      <xdr:col>24</xdr:col>
      <xdr:colOff>394152</xdr:colOff>
      <xdr:row>30</xdr:row>
      <xdr:rowOff>0</xdr:rowOff>
    </xdr:to>
    <xdr:pic>
      <xdr:nvPicPr>
        <xdr:cNvPr id="7" name="Picture 6" descr="Screen Clippi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9236" y="1961029"/>
          <a:ext cx="1895740" cy="4874559"/>
        </a:xfrm>
        <a:prstGeom prst="rect">
          <a:avLst/>
        </a:prstGeom>
      </xdr:spPr>
    </xdr:pic>
    <xdr:clientData/>
  </xdr:twoCellAnchor>
  <xdr:twoCellAnchor editAs="oneCell">
    <xdr:from>
      <xdr:col>8</xdr:col>
      <xdr:colOff>71440</xdr:colOff>
      <xdr:row>2</xdr:row>
      <xdr:rowOff>202407</xdr:rowOff>
    </xdr:from>
    <xdr:to>
      <xdr:col>15</xdr:col>
      <xdr:colOff>523875</xdr:colOff>
      <xdr:row>4</xdr:row>
      <xdr:rowOff>95250</xdr:rowOff>
    </xdr:to>
    <xdr:pic>
      <xdr:nvPicPr>
        <xdr:cNvPr id="8" name="Picture 7" descr="C:\Users\m.asghasem\Desktop\Capture.PN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6784" y="500063"/>
          <a:ext cx="506015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28575</xdr:rowOff>
    </xdr:to>
    <xdr:sp macro="" textlink="">
      <xdr:nvSpPr>
        <xdr:cNvPr id="2" name="AutoShape 1" descr="PDF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3" name="AutoShape 2" descr="PDF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28575</xdr:rowOff>
    </xdr:to>
    <xdr:sp macro="" textlink="">
      <xdr:nvSpPr>
        <xdr:cNvPr id="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5" name="AutoShape 4" descr="PDF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6" name="AutoShape 5" descr="PDF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7" name="AutoShape 6" descr="PDF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8" name="AutoShape 7" descr="PDF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9" name="AutoShape 8" descr="PDF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10" name="AutoShape 9" descr="PDF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11" name="AutoShape 10" descr="PDF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12" name="AutoShape 11" descr="PDF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28575</xdr:rowOff>
    </xdr:to>
    <xdr:sp macro="" textlink="">
      <xdr:nvSpPr>
        <xdr:cNvPr id="13" name="AutoShape 12" descr="PDF">
          <a:hlinkClick xmlns:r="http://schemas.openxmlformats.org/officeDocument/2006/relationships" r:id="rId12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14" name="AutoShape 13" descr="PDF">
          <a:hlinkClick xmlns:r="http://schemas.openxmlformats.org/officeDocument/2006/relationships" r:id="rId13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15" name="AutoShape 14" descr="PDF">
          <a:hlinkClick xmlns:r="http://schemas.openxmlformats.org/officeDocument/2006/relationships" r:id="rId1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16" name="AutoShape 15" descr="PDF">
          <a:hlinkClick xmlns:r="http://schemas.openxmlformats.org/officeDocument/2006/relationships" r:id="rId15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17" name="AutoShape 16" descr="PDF">
          <a:hlinkClick xmlns:r="http://schemas.openxmlformats.org/officeDocument/2006/relationships" r:id="rId16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18" name="AutoShape 17" descr="PDF">
          <a:hlinkClick xmlns:r="http://schemas.openxmlformats.org/officeDocument/2006/relationships" r:id="rId17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19" name="AutoShape 18" descr="PDF">
          <a:hlinkClick xmlns:r="http://schemas.openxmlformats.org/officeDocument/2006/relationships" r:id="rId18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20" name="AutoShape 19" descr="PDF">
          <a:hlinkClick xmlns:r="http://schemas.openxmlformats.org/officeDocument/2006/relationships" r:id="rId19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21" name="AutoShape 20" descr="PDF">
          <a:hlinkClick xmlns:r="http://schemas.openxmlformats.org/officeDocument/2006/relationships" r:id="rId20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28575</xdr:rowOff>
    </xdr:to>
    <xdr:sp macro="" textlink="">
      <xdr:nvSpPr>
        <xdr:cNvPr id="22" name="AutoShape 21" descr="PDF">
          <a:hlinkClick xmlns:r="http://schemas.openxmlformats.org/officeDocument/2006/relationships" r:id="rId21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23" name="AutoShape 22" descr="PDF">
          <a:hlinkClick xmlns:r="http://schemas.openxmlformats.org/officeDocument/2006/relationships" r:id="rId22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24" name="AutoShape 23" descr="PDF">
          <a:hlinkClick xmlns:r="http://schemas.openxmlformats.org/officeDocument/2006/relationships" r:id="rId23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25" name="AutoShape 24" descr="PDF">
          <a:hlinkClick xmlns:r="http://schemas.openxmlformats.org/officeDocument/2006/relationships" r:id="rId24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26" name="AutoShape 25" descr="PDF">
          <a:hlinkClick xmlns:r="http://schemas.openxmlformats.org/officeDocument/2006/relationships" r:id="rId2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27" name="AutoShape 26" descr="PDF">
          <a:hlinkClick xmlns:r="http://schemas.openxmlformats.org/officeDocument/2006/relationships" r:id="rId26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28" name="AutoShape 27" descr="PDF">
          <a:hlinkClick xmlns:r="http://schemas.openxmlformats.org/officeDocument/2006/relationships" r:id="rId27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29" name="AutoShape 28" descr="PDF">
          <a:hlinkClick xmlns:r="http://schemas.openxmlformats.org/officeDocument/2006/relationships" r:id="rId28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30" name="AutoShape 29" descr="PDF">
          <a:hlinkClick xmlns:r="http://schemas.openxmlformats.org/officeDocument/2006/relationships" r:id="rId29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31" name="AutoShape 30" descr="PDF">
          <a:hlinkClick xmlns:r="http://schemas.openxmlformats.org/officeDocument/2006/relationships" r:id="rId30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32" name="AutoShape 31" descr="PDF">
          <a:hlinkClick xmlns:r="http://schemas.openxmlformats.org/officeDocument/2006/relationships" r:id="rId31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33" name="AutoShape 32" descr="PDF">
          <a:hlinkClick xmlns:r="http://schemas.openxmlformats.org/officeDocument/2006/relationships" r:id="rId32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219075</xdr:colOff>
      <xdr:row>66</xdr:row>
      <xdr:rowOff>19050</xdr:rowOff>
    </xdr:to>
    <xdr:sp macro="" textlink="">
      <xdr:nvSpPr>
        <xdr:cNvPr id="34" name="AutoShape 33" descr="PDF">
          <a:hlinkClick xmlns:r="http://schemas.openxmlformats.org/officeDocument/2006/relationships" r:id="rId33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4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4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4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4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4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4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4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4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4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4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5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5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5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5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5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5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5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5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5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5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6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6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6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6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6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6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6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6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6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6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7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7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7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7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7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7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7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7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7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7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8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8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8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8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8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8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8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8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8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8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9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9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9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9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9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9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9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9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9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9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0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0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0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0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0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0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0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0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0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0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1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11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12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13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14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1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1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1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1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1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2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2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2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23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24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25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26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27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28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2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3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3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3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3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3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3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3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37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38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39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40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41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42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4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4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4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4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4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4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4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5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51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52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53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54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55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56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5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5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5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6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6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6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6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6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65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66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67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68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69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70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7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7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7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7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7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7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7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7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79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80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81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82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83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84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8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8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8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8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8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9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9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9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93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94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95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96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97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98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19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0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0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0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0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0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0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0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07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08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09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10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11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12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1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1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1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1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1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1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1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2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21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22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23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24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25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26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2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2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2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3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3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3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3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3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35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36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37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38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39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40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4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4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4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4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4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4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4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4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49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50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51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52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53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54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5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5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5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5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5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6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6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6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63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64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65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66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67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68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6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7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7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7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7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7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7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7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77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78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79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80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81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82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8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8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8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8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8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8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8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9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91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92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93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94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95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96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9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9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29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0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0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0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0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0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05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06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07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08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09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10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1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12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13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14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15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1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1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1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19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20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21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22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23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24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2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26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27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28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29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30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31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3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33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34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35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36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37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38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39" name="AutoShape 7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219075" cy="219075"/>
    <xdr:sp macro="" textlink="">
      <xdr:nvSpPr>
        <xdr:cNvPr id="340" name="AutoShape 7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19364325" y="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csaco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view="pageBreakPreview" zoomScale="70" zoomScaleNormal="80" zoomScaleSheetLayoutView="70" workbookViewId="0">
      <selection activeCell="B35" sqref="B35:Y38"/>
    </sheetView>
  </sheetViews>
  <sheetFormatPr defaultRowHeight="18" customHeight="1" x14ac:dyDescent="0.25"/>
  <cols>
    <col min="1" max="1" width="1.28515625" style="1" customWidth="1"/>
    <col min="2" max="2" width="8.7109375" style="1" customWidth="1"/>
    <col min="3" max="3" width="22.28515625" style="1" bestFit="1" customWidth="1"/>
    <col min="4" max="4" width="10" style="1" bestFit="1" customWidth="1"/>
    <col min="5" max="8" width="8.7109375" style="1" customWidth="1"/>
    <col min="9" max="10" width="8.7109375" style="11" customWidth="1"/>
    <col min="11" max="11" width="16.5703125" style="11" customWidth="1"/>
    <col min="12" max="18" width="8.7109375" style="11" customWidth="1"/>
    <col min="19" max="19" width="14.140625" style="11" customWidth="1"/>
    <col min="20" max="25" width="8.7109375" style="1" customWidth="1"/>
    <col min="26" max="26" width="5.7109375" style="1" customWidth="1"/>
    <col min="27" max="16384" width="9.140625" style="1"/>
  </cols>
  <sheetData>
    <row r="1" spans="1:25" ht="6" customHeight="1" thickBot="1" x14ac:dyDescent="0.3">
      <c r="A1" s="2"/>
      <c r="B1" s="2"/>
      <c r="C1" s="2"/>
      <c r="D1" s="2"/>
      <c r="E1" s="2"/>
      <c r="F1" s="2"/>
      <c r="G1" s="2"/>
      <c r="H1" s="2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2"/>
      <c r="U1" s="2"/>
      <c r="V1" s="2"/>
      <c r="W1" s="2"/>
    </row>
    <row r="2" spans="1:25" ht="18" customHeight="1" x14ac:dyDescent="0.25">
      <c r="A2" s="2"/>
      <c r="B2" s="3"/>
      <c r="C2" s="4"/>
      <c r="D2" s="4"/>
      <c r="E2" s="4"/>
      <c r="F2" s="4"/>
      <c r="G2" s="4"/>
      <c r="H2" s="4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4"/>
      <c r="U2" s="4"/>
      <c r="V2" s="4"/>
      <c r="W2" s="4"/>
      <c r="X2" s="4"/>
      <c r="Y2" s="5"/>
    </row>
    <row r="3" spans="1:25" ht="18" customHeight="1" x14ac:dyDescent="0.25">
      <c r="A3" s="2"/>
      <c r="B3" s="6"/>
      <c r="C3" s="2"/>
      <c r="D3" s="2"/>
      <c r="E3" s="2"/>
      <c r="F3" s="2"/>
      <c r="G3" s="2"/>
      <c r="H3" s="2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2"/>
      <c r="U3" s="2"/>
      <c r="V3" s="2"/>
      <c r="W3" s="2"/>
      <c r="X3" s="2"/>
      <c r="Y3" s="7"/>
    </row>
    <row r="4" spans="1:25" ht="20.25" x14ac:dyDescent="0.25">
      <c r="A4" s="2"/>
      <c r="B4" s="6"/>
      <c r="C4" s="2"/>
      <c r="D4" s="2"/>
      <c r="E4" s="2"/>
      <c r="F4" s="2"/>
      <c r="G4" s="2"/>
      <c r="H4" s="2"/>
      <c r="I4" s="8"/>
      <c r="J4" s="8"/>
      <c r="K4" s="8"/>
      <c r="L4" s="8"/>
      <c r="M4" s="8"/>
      <c r="N4" s="8"/>
      <c r="O4" s="8"/>
      <c r="P4" s="8"/>
      <c r="Q4" s="10"/>
      <c r="R4" s="10"/>
      <c r="S4" s="10"/>
      <c r="T4" s="2"/>
      <c r="U4" s="2"/>
      <c r="V4" s="2"/>
      <c r="W4" s="2"/>
      <c r="X4" s="2"/>
      <c r="Y4" s="7"/>
    </row>
    <row r="5" spans="1:25" ht="15" x14ac:dyDescent="0.25">
      <c r="A5" s="2"/>
      <c r="B5" s="6"/>
      <c r="C5" s="2"/>
      <c r="D5" s="2"/>
      <c r="E5" s="2"/>
      <c r="F5" s="2"/>
      <c r="G5" s="2"/>
      <c r="H5" s="2"/>
      <c r="I5" s="8"/>
      <c r="J5" s="8"/>
      <c r="K5" s="8"/>
      <c r="L5" s="8"/>
      <c r="N5" s="8"/>
      <c r="O5" s="8"/>
      <c r="P5" s="8"/>
      <c r="Q5" s="8"/>
      <c r="T5" s="2"/>
      <c r="U5" s="2"/>
      <c r="V5" s="2"/>
      <c r="W5" s="2"/>
      <c r="X5" s="2"/>
      <c r="Y5" s="7"/>
    </row>
    <row r="6" spans="1:25" ht="18" customHeight="1" x14ac:dyDescent="0.25">
      <c r="A6" s="2"/>
      <c r="B6" s="6"/>
      <c r="C6" s="2"/>
      <c r="D6" s="2"/>
      <c r="E6" s="2"/>
      <c r="F6" s="2"/>
      <c r="G6" s="2"/>
      <c r="H6" s="2"/>
      <c r="I6" s="8"/>
      <c r="J6" s="8"/>
      <c r="K6" s="8"/>
      <c r="L6" s="68"/>
      <c r="M6" s="69" t="s">
        <v>0</v>
      </c>
      <c r="O6" s="70"/>
      <c r="P6" s="68"/>
      <c r="Q6" s="8"/>
      <c r="R6" s="8"/>
      <c r="S6" s="8"/>
      <c r="T6" s="2"/>
      <c r="U6" s="2"/>
      <c r="V6" s="2"/>
      <c r="W6" s="2"/>
      <c r="X6" s="2"/>
      <c r="Y6" s="7"/>
    </row>
    <row r="7" spans="1:25" ht="15.75" customHeight="1" thickBot="1" x14ac:dyDescent="0.3">
      <c r="A7" s="2"/>
      <c r="B7" s="6"/>
      <c r="C7" s="2"/>
      <c r="D7" s="12"/>
      <c r="E7" s="13"/>
      <c r="F7" s="13"/>
      <c r="G7" s="2"/>
      <c r="H7" s="14"/>
      <c r="I7" s="14"/>
      <c r="J7" s="13"/>
      <c r="K7" s="14"/>
      <c r="L7" s="8"/>
      <c r="M7" s="13"/>
      <c r="N7" s="8"/>
      <c r="O7" s="8"/>
      <c r="P7" s="8"/>
      <c r="Q7" s="8"/>
      <c r="R7" s="8"/>
      <c r="S7" s="8"/>
      <c r="T7" s="2"/>
      <c r="U7" s="2"/>
      <c r="V7" s="2"/>
      <c r="W7" s="2"/>
      <c r="X7" s="2"/>
      <c r="Y7" s="7"/>
    </row>
    <row r="8" spans="1:25" ht="20.100000000000001" customHeight="1" x14ac:dyDescent="0.25">
      <c r="A8" s="2"/>
      <c r="B8" s="15"/>
      <c r="C8" s="39"/>
      <c r="D8" s="40"/>
      <c r="E8" s="41" t="s">
        <v>41</v>
      </c>
      <c r="F8" s="40"/>
      <c r="G8" s="40"/>
      <c r="H8" s="40"/>
      <c r="I8" s="16"/>
      <c r="J8" s="17"/>
      <c r="K8" s="39"/>
      <c r="L8" s="40"/>
      <c r="M8" s="41" t="s">
        <v>34</v>
      </c>
      <c r="N8" s="40"/>
      <c r="O8" s="40"/>
      <c r="P8" s="40"/>
      <c r="Q8" s="18"/>
      <c r="R8" s="38"/>
      <c r="S8" s="39"/>
      <c r="T8" s="40"/>
      <c r="U8" s="41" t="s">
        <v>33</v>
      </c>
      <c r="V8" s="40"/>
      <c r="W8" s="40"/>
      <c r="X8" s="40"/>
      <c r="Y8" s="19"/>
    </row>
    <row r="9" spans="1:25" ht="20.100000000000001" customHeight="1" x14ac:dyDescent="0.25">
      <c r="A9" s="2"/>
      <c r="B9" s="20"/>
      <c r="I9" s="22"/>
      <c r="J9" s="23"/>
      <c r="Q9" s="22"/>
      <c r="R9" s="21"/>
      <c r="Y9" s="25"/>
    </row>
    <row r="10" spans="1:25" ht="20.100000000000001" customHeight="1" x14ac:dyDescent="0.25">
      <c r="A10" s="2"/>
      <c r="B10" s="20"/>
      <c r="C10" s="71" t="s">
        <v>15</v>
      </c>
      <c r="D10" s="45">
        <v>25</v>
      </c>
      <c r="E10" s="78" t="s">
        <v>28</v>
      </c>
      <c r="F10" s="21"/>
      <c r="G10" s="82"/>
      <c r="H10" s="82"/>
      <c r="I10" s="27"/>
      <c r="J10" s="28"/>
      <c r="K10" s="71" t="s">
        <v>31</v>
      </c>
      <c r="L10" s="42" t="s">
        <v>2</v>
      </c>
      <c r="M10" s="21"/>
      <c r="N10" s="24" t="s">
        <v>6</v>
      </c>
      <c r="O10" s="42">
        <v>400</v>
      </c>
      <c r="P10" s="24" t="str">
        <f>CAL!O51</f>
        <v>/3PH/50Hz</v>
      </c>
      <c r="Q10" s="27"/>
      <c r="R10" s="24"/>
      <c r="S10" s="21"/>
      <c r="T10" s="24"/>
      <c r="U10" s="24"/>
      <c r="V10" s="24" t="s">
        <v>6</v>
      </c>
      <c r="W10" s="42">
        <v>400</v>
      </c>
      <c r="X10" s="24" t="s">
        <v>17</v>
      </c>
      <c r="Y10" s="25"/>
    </row>
    <row r="11" spans="1:25" ht="20.100000000000001" customHeight="1" thickBot="1" x14ac:dyDescent="0.3">
      <c r="A11" s="2"/>
      <c r="B11" s="20"/>
      <c r="C11" s="29"/>
      <c r="D11" s="24"/>
      <c r="E11" s="52"/>
      <c r="F11" s="24"/>
      <c r="G11" s="51" t="str">
        <f>CAL!P4</f>
        <v>380VAC/1PH/50HZ</v>
      </c>
      <c r="H11" s="24"/>
      <c r="I11" s="22"/>
      <c r="J11" s="23"/>
      <c r="K11" s="21"/>
      <c r="L11" s="24"/>
      <c r="M11" s="24"/>
      <c r="N11" s="24"/>
      <c r="O11" s="24"/>
      <c r="P11" s="24"/>
      <c r="Q11" s="22"/>
      <c r="R11" s="21"/>
      <c r="S11" s="24"/>
      <c r="T11" s="26"/>
      <c r="U11" s="21"/>
      <c r="V11" s="21"/>
      <c r="W11" s="21"/>
      <c r="X11" s="21"/>
      <c r="Y11" s="25"/>
    </row>
    <row r="12" spans="1:25" ht="20.100000000000001" customHeight="1" x14ac:dyDescent="0.25">
      <c r="A12" s="2"/>
      <c r="B12" s="20"/>
      <c r="C12" s="11"/>
      <c r="E12" s="44"/>
      <c r="F12" s="21"/>
      <c r="G12" s="47"/>
      <c r="H12" s="49"/>
      <c r="I12" s="22"/>
      <c r="J12" s="23"/>
      <c r="K12" s="21"/>
      <c r="L12" s="21" t="s">
        <v>22</v>
      </c>
      <c r="M12" s="21"/>
      <c r="N12" s="29"/>
      <c r="O12" s="21"/>
      <c r="P12" s="21"/>
      <c r="Q12" s="22"/>
      <c r="R12" s="21"/>
      <c r="S12" s="21"/>
      <c r="T12" s="21" t="s">
        <v>22</v>
      </c>
      <c r="U12" s="21"/>
      <c r="V12" s="21"/>
      <c r="W12" s="21"/>
      <c r="X12" s="21"/>
      <c r="Y12" s="25"/>
    </row>
    <row r="13" spans="1:25" ht="20.100000000000001" customHeight="1" thickBot="1" x14ac:dyDescent="0.3">
      <c r="A13" s="2"/>
      <c r="B13" s="20"/>
      <c r="C13" s="11"/>
      <c r="E13" s="44"/>
      <c r="F13" s="21"/>
      <c r="G13" s="50"/>
      <c r="H13" s="48"/>
      <c r="I13" s="22"/>
      <c r="J13" s="23"/>
      <c r="K13" s="21"/>
      <c r="L13" s="37" t="str">
        <f>CAL!N70</f>
        <v>63-80</v>
      </c>
      <c r="M13" s="21"/>
      <c r="N13" s="29"/>
      <c r="O13" s="21"/>
      <c r="P13" s="21"/>
      <c r="Q13" s="22"/>
      <c r="R13" s="21"/>
      <c r="S13" s="37"/>
      <c r="T13" s="37" t="str">
        <f ca="1">CAL!Q70</f>
        <v>80-125</v>
      </c>
      <c r="U13" s="37"/>
      <c r="V13" s="21"/>
      <c r="W13" s="24"/>
      <c r="X13" s="21"/>
      <c r="Y13" s="25"/>
    </row>
    <row r="14" spans="1:25" ht="20.100000000000001" customHeight="1" x14ac:dyDescent="0.25">
      <c r="A14" s="2"/>
      <c r="B14" s="20"/>
      <c r="F14" s="21"/>
      <c r="G14" s="21"/>
      <c r="H14" s="47"/>
      <c r="I14" s="22"/>
      <c r="J14" s="23"/>
      <c r="K14" s="21"/>
      <c r="L14" s="21"/>
      <c r="M14" s="21"/>
      <c r="N14" s="29"/>
      <c r="O14" s="21"/>
      <c r="P14" s="21"/>
      <c r="Q14" s="22"/>
      <c r="R14" s="21"/>
      <c r="S14" s="21"/>
      <c r="T14" s="21"/>
      <c r="U14" s="21"/>
      <c r="V14" s="21"/>
      <c r="W14" s="21"/>
      <c r="X14" s="21"/>
      <c r="Y14" s="25"/>
    </row>
    <row r="15" spans="1:25" ht="20.100000000000001" customHeight="1" x14ac:dyDescent="0.25">
      <c r="A15" s="2"/>
      <c r="B15" s="20"/>
      <c r="C15" s="71" t="s">
        <v>36</v>
      </c>
      <c r="D15" s="45" t="s">
        <v>1</v>
      </c>
      <c r="E15" s="30"/>
      <c r="F15" s="21"/>
      <c r="G15" s="21"/>
      <c r="H15" s="23"/>
      <c r="I15" s="22"/>
      <c r="J15" s="23"/>
      <c r="K15" s="21"/>
      <c r="L15" s="21"/>
      <c r="M15" s="21"/>
      <c r="N15" s="29"/>
      <c r="O15" s="21"/>
      <c r="P15" s="21"/>
      <c r="Q15" s="22"/>
      <c r="R15" s="21"/>
      <c r="S15" s="21"/>
      <c r="T15" s="21"/>
      <c r="U15" s="21"/>
      <c r="V15" s="21"/>
      <c r="W15" s="21"/>
      <c r="X15" s="21"/>
      <c r="Y15" s="25"/>
    </row>
    <row r="16" spans="1:25" ht="20.100000000000001" customHeight="1" x14ac:dyDescent="0.25">
      <c r="A16" s="2"/>
      <c r="B16" s="20"/>
      <c r="C16" s="71" t="s">
        <v>37</v>
      </c>
      <c r="D16" s="45">
        <v>380</v>
      </c>
      <c r="E16" s="78" t="s">
        <v>38</v>
      </c>
      <c r="F16" s="21"/>
      <c r="G16" s="21"/>
      <c r="H16" s="23"/>
      <c r="I16" s="22"/>
      <c r="J16" s="23"/>
      <c r="K16" s="29"/>
      <c r="L16" s="26"/>
      <c r="M16" s="26"/>
      <c r="N16" s="29"/>
      <c r="O16" s="21"/>
      <c r="P16" s="21"/>
      <c r="Q16" s="22"/>
      <c r="R16" s="21"/>
      <c r="S16" s="21" t="s">
        <v>23</v>
      </c>
      <c r="T16" s="21" t="s">
        <v>24</v>
      </c>
      <c r="U16" s="21" t="s">
        <v>25</v>
      </c>
      <c r="V16" s="21"/>
      <c r="W16" s="21"/>
      <c r="X16" s="21"/>
      <c r="Y16" s="25"/>
    </row>
    <row r="17" spans="1:25" ht="20.100000000000001" customHeight="1" x14ac:dyDescent="0.25">
      <c r="A17" s="2"/>
      <c r="B17" s="20"/>
      <c r="C17" s="71" t="s">
        <v>40</v>
      </c>
      <c r="D17" s="45">
        <v>1242</v>
      </c>
      <c r="E17" s="53" t="s">
        <v>5</v>
      </c>
      <c r="F17" s="24"/>
      <c r="G17" s="21"/>
      <c r="H17" s="23"/>
      <c r="I17" s="22"/>
      <c r="J17" s="23"/>
      <c r="K17" s="29"/>
      <c r="L17" s="21" t="s">
        <v>23</v>
      </c>
      <c r="M17" s="21"/>
      <c r="N17" s="29"/>
      <c r="O17" s="21"/>
      <c r="P17" s="21"/>
      <c r="Q17" s="22"/>
      <c r="R17" s="21"/>
      <c r="S17" s="37">
        <f>CAL!P72</f>
        <v>50</v>
      </c>
      <c r="T17" s="37">
        <f>CAL!Q72</f>
        <v>50</v>
      </c>
      <c r="U17" s="37">
        <f>CAL!R72</f>
        <v>40</v>
      </c>
      <c r="V17" s="24"/>
      <c r="W17" s="24"/>
      <c r="X17" s="24"/>
      <c r="Y17" s="25"/>
    </row>
    <row r="18" spans="1:25" ht="20.100000000000001" customHeight="1" x14ac:dyDescent="0.25">
      <c r="A18" s="2"/>
      <c r="B18" s="20"/>
      <c r="C18" s="71" t="s">
        <v>14</v>
      </c>
      <c r="D18" s="45">
        <v>0.82</v>
      </c>
      <c r="E18" s="30" t="str">
        <f>CAL!V6</f>
        <v xml:space="preserve"> </v>
      </c>
      <c r="F18" s="21"/>
      <c r="G18" s="21"/>
      <c r="H18" s="23"/>
      <c r="I18" s="22"/>
      <c r="J18" s="23"/>
      <c r="K18" s="21"/>
      <c r="L18" s="37">
        <f>CAL!N72</f>
        <v>80</v>
      </c>
      <c r="M18" s="24"/>
      <c r="N18" s="29"/>
      <c r="O18" s="21"/>
      <c r="P18" s="21"/>
      <c r="Q18" s="22"/>
      <c r="R18" s="21"/>
      <c r="V18" s="24"/>
      <c r="W18" s="24"/>
      <c r="X18" s="24"/>
      <c r="Y18" s="25"/>
    </row>
    <row r="19" spans="1:25" ht="20.100000000000001" customHeight="1" x14ac:dyDescent="0.25">
      <c r="A19" s="2"/>
      <c r="B19" s="20"/>
      <c r="F19" s="21"/>
      <c r="G19" s="21"/>
      <c r="H19" s="23"/>
      <c r="I19" s="22"/>
      <c r="J19" s="23"/>
      <c r="K19" s="21"/>
      <c r="L19" s="24"/>
      <c r="M19" s="24"/>
      <c r="N19" s="29"/>
      <c r="O19" s="21"/>
      <c r="P19" s="21"/>
      <c r="Q19" s="22"/>
      <c r="R19" s="21"/>
      <c r="S19" s="21"/>
      <c r="T19" s="24"/>
      <c r="U19" s="24"/>
      <c r="V19" s="24"/>
      <c r="W19" s="24"/>
      <c r="X19" s="24"/>
      <c r="Y19" s="25"/>
    </row>
    <row r="20" spans="1:25" ht="20.100000000000001" customHeight="1" x14ac:dyDescent="0.25">
      <c r="A20" s="2"/>
      <c r="B20" s="20"/>
      <c r="F20" s="21"/>
      <c r="G20" s="21"/>
      <c r="H20" s="23"/>
      <c r="I20" s="22"/>
      <c r="J20" s="23"/>
      <c r="K20" s="21"/>
      <c r="L20" s="24"/>
      <c r="M20" s="24"/>
      <c r="N20" s="29"/>
      <c r="O20" s="21"/>
      <c r="P20" s="21"/>
      <c r="Q20" s="22"/>
      <c r="R20" s="21"/>
      <c r="S20" s="21"/>
      <c r="T20" s="24"/>
      <c r="U20" s="24"/>
      <c r="V20" s="24"/>
      <c r="W20" s="24"/>
      <c r="X20" s="24"/>
      <c r="Y20" s="25"/>
    </row>
    <row r="21" spans="1:25" ht="20.100000000000001" customHeight="1" x14ac:dyDescent="0.25">
      <c r="B21" s="20"/>
      <c r="F21" s="21"/>
      <c r="G21" s="21"/>
      <c r="H21" s="23"/>
      <c r="I21" s="22"/>
      <c r="J21" s="23"/>
      <c r="K21" s="71" t="s">
        <v>27</v>
      </c>
      <c r="L21" s="43">
        <v>25</v>
      </c>
      <c r="M21" s="78" t="s">
        <v>28</v>
      </c>
      <c r="N21" s="29"/>
      <c r="O21" s="21"/>
      <c r="P21" s="21"/>
      <c r="Q21" s="22"/>
      <c r="R21" s="21"/>
      <c r="S21" s="71" t="s">
        <v>27</v>
      </c>
      <c r="T21" s="43">
        <v>25</v>
      </c>
      <c r="U21" s="78" t="s">
        <v>28</v>
      </c>
      <c r="V21" s="21"/>
      <c r="W21" s="21"/>
      <c r="X21" s="21"/>
      <c r="Y21" s="25"/>
    </row>
    <row r="22" spans="1:25" ht="20.100000000000001" customHeight="1" x14ac:dyDescent="0.25">
      <c r="B22" s="20"/>
      <c r="C22" s="72" t="s">
        <v>13</v>
      </c>
      <c r="D22" s="45">
        <v>30</v>
      </c>
      <c r="E22" s="78" t="s">
        <v>29</v>
      </c>
      <c r="F22" s="21"/>
      <c r="G22" s="21"/>
      <c r="H22" s="23"/>
      <c r="I22" s="22"/>
      <c r="J22" s="23"/>
      <c r="K22" s="71" t="s">
        <v>30</v>
      </c>
      <c r="L22" s="43">
        <v>3</v>
      </c>
      <c r="M22" s="78" t="s">
        <v>3</v>
      </c>
      <c r="N22" s="29"/>
      <c r="O22" s="21"/>
      <c r="P22" s="21"/>
      <c r="Q22" s="22"/>
      <c r="R22" s="21"/>
      <c r="S22" s="71" t="s">
        <v>30</v>
      </c>
      <c r="T22" s="43">
        <v>2</v>
      </c>
      <c r="U22" s="78" t="s">
        <v>3</v>
      </c>
      <c r="V22" s="21"/>
      <c r="W22" s="21"/>
      <c r="X22" s="21"/>
      <c r="Y22" s="25"/>
    </row>
    <row r="23" spans="1:25" ht="20.100000000000001" customHeight="1" x14ac:dyDescent="0.25">
      <c r="B23" s="20"/>
      <c r="C23" s="71" t="s">
        <v>16</v>
      </c>
      <c r="D23" s="45">
        <v>2.5</v>
      </c>
      <c r="E23" s="78" t="s">
        <v>3</v>
      </c>
      <c r="F23" s="21"/>
      <c r="G23" s="21"/>
      <c r="H23" s="23"/>
      <c r="I23" s="22"/>
      <c r="J23" s="23"/>
      <c r="K23" s="81" t="s">
        <v>26</v>
      </c>
      <c r="L23" s="81"/>
      <c r="M23" s="30"/>
      <c r="N23" s="29"/>
      <c r="O23" s="21"/>
      <c r="P23" s="21"/>
      <c r="Q23" s="22"/>
      <c r="R23" s="21"/>
      <c r="S23" s="81" t="s">
        <v>26</v>
      </c>
      <c r="T23" s="81"/>
      <c r="U23" s="30"/>
      <c r="V23" s="21"/>
      <c r="W23" s="21"/>
      <c r="X23" s="21"/>
      <c r="Y23" s="25"/>
    </row>
    <row r="24" spans="1:25" ht="20.100000000000001" customHeight="1" x14ac:dyDescent="0.25">
      <c r="B24" s="20"/>
      <c r="C24" s="73" t="s">
        <v>26</v>
      </c>
      <c r="D24" s="21"/>
      <c r="E24" s="30"/>
      <c r="F24" s="21"/>
      <c r="G24" s="21"/>
      <c r="H24" s="23"/>
      <c r="I24" s="22"/>
      <c r="J24" s="23"/>
      <c r="K24" s="75"/>
      <c r="L24" s="76" t="str">
        <f>CAL!N77</f>
        <v>3x25mm2</v>
      </c>
      <c r="M24" s="75"/>
      <c r="N24" s="29"/>
      <c r="O24" s="21"/>
      <c r="P24" s="21"/>
      <c r="Q24" s="22"/>
      <c r="R24" s="21"/>
      <c r="S24" s="75"/>
      <c r="T24" s="76" t="str">
        <f>CAL!Q77</f>
        <v>3x25mm2+3.5x25mm2</v>
      </c>
      <c r="U24" s="75"/>
      <c r="V24" s="21"/>
      <c r="W24" s="21"/>
      <c r="X24" s="21"/>
      <c r="Y24" s="25"/>
    </row>
    <row r="25" spans="1:25" ht="20.100000000000001" customHeight="1" x14ac:dyDescent="0.25">
      <c r="B25" s="20"/>
      <c r="C25" s="74"/>
      <c r="D25" s="74" t="str">
        <f>CAL!T15</f>
        <v>3(3/5x300)mm2</v>
      </c>
      <c r="E25" s="75"/>
      <c r="F25" s="21"/>
      <c r="G25" s="21"/>
      <c r="H25" s="23"/>
      <c r="I25" s="22"/>
      <c r="J25" s="23"/>
      <c r="K25" s="71" t="s">
        <v>13</v>
      </c>
      <c r="L25" s="43">
        <v>25</v>
      </c>
      <c r="M25" s="78" t="s">
        <v>29</v>
      </c>
      <c r="N25" s="29"/>
      <c r="O25" s="21"/>
      <c r="P25" s="21"/>
      <c r="Q25" s="22"/>
      <c r="R25" s="21"/>
      <c r="S25" s="71" t="s">
        <v>13</v>
      </c>
      <c r="T25" s="43">
        <v>120</v>
      </c>
      <c r="U25" s="78" t="s">
        <v>29</v>
      </c>
      <c r="V25" s="21"/>
      <c r="W25" s="21"/>
      <c r="X25" s="21"/>
      <c r="Y25" s="25"/>
    </row>
    <row r="26" spans="1:25" ht="20.100000000000001" customHeight="1" x14ac:dyDescent="0.25">
      <c r="B26" s="20"/>
      <c r="C26" s="71" t="s">
        <v>42</v>
      </c>
      <c r="D26" s="21">
        <f>CAL!S13</f>
        <v>0.28000000000000003</v>
      </c>
      <c r="E26" s="30"/>
      <c r="F26" s="21"/>
      <c r="G26" s="21"/>
      <c r="H26" s="23"/>
      <c r="I26" s="22"/>
      <c r="J26" s="23"/>
      <c r="K26" s="71" t="s">
        <v>42</v>
      </c>
      <c r="L26" s="37">
        <f>CAL!Y63</f>
        <v>0.46</v>
      </c>
      <c r="M26" s="78" t="s">
        <v>3</v>
      </c>
      <c r="N26" s="29"/>
      <c r="O26" s="21"/>
      <c r="P26" s="21"/>
      <c r="Q26" s="22"/>
      <c r="R26" s="21"/>
      <c r="S26" s="71" t="s">
        <v>42</v>
      </c>
      <c r="T26" s="37">
        <f>CAL!Q79</f>
        <v>1.53</v>
      </c>
      <c r="U26" s="78" t="s">
        <v>3</v>
      </c>
      <c r="V26" s="21"/>
      <c r="W26" s="21"/>
      <c r="X26" s="21"/>
      <c r="Y26" s="25"/>
    </row>
    <row r="27" spans="1:25" ht="20.100000000000001" customHeight="1" x14ac:dyDescent="0.25">
      <c r="B27" s="20"/>
      <c r="C27" s="21"/>
      <c r="D27" s="21"/>
      <c r="E27" s="30"/>
      <c r="F27" s="21"/>
      <c r="G27" s="21"/>
      <c r="H27" s="23"/>
      <c r="I27" s="22"/>
      <c r="J27" s="23"/>
      <c r="N27" s="29"/>
      <c r="O27" s="21"/>
      <c r="P27" s="21"/>
      <c r="Q27" s="22"/>
      <c r="R27" s="21"/>
      <c r="U27" s="44"/>
      <c r="V27" s="21"/>
      <c r="W27" s="21"/>
      <c r="X27" s="21"/>
      <c r="Y27" s="25"/>
    </row>
    <row r="28" spans="1:25" ht="20.100000000000001" customHeight="1" thickBot="1" x14ac:dyDescent="0.3">
      <c r="B28" s="20"/>
      <c r="C28" s="21"/>
      <c r="D28" s="21"/>
      <c r="E28" s="30"/>
      <c r="F28" s="21"/>
      <c r="G28" s="21"/>
      <c r="H28" s="23"/>
      <c r="I28" s="22"/>
      <c r="J28" s="23"/>
      <c r="K28" s="21"/>
      <c r="L28" s="21"/>
      <c r="M28" s="21"/>
      <c r="N28" s="29"/>
      <c r="O28" s="21"/>
      <c r="P28" s="21"/>
      <c r="Q28" s="22"/>
      <c r="R28" s="21"/>
      <c r="S28" s="21"/>
      <c r="T28" s="37"/>
      <c r="U28" s="30"/>
      <c r="V28" s="21"/>
      <c r="W28" s="21"/>
      <c r="X28" s="21"/>
      <c r="Y28" s="25"/>
    </row>
    <row r="29" spans="1:25" ht="20.100000000000001" customHeight="1" x14ac:dyDescent="0.25">
      <c r="B29" s="20"/>
      <c r="C29" s="21"/>
      <c r="D29" s="21"/>
      <c r="E29" s="30"/>
      <c r="F29" s="21"/>
      <c r="G29" s="47"/>
      <c r="H29" s="49"/>
      <c r="I29" s="22"/>
      <c r="J29" s="23"/>
      <c r="K29" s="21"/>
      <c r="L29" s="21"/>
      <c r="M29" s="21"/>
      <c r="N29" s="29"/>
      <c r="O29" s="21"/>
      <c r="P29" s="21"/>
      <c r="Q29" s="22"/>
      <c r="R29" s="21"/>
      <c r="S29" s="21"/>
      <c r="T29" s="37"/>
      <c r="U29" s="30"/>
      <c r="V29" s="21"/>
      <c r="W29" s="21"/>
      <c r="X29" s="21"/>
      <c r="Y29" s="25"/>
    </row>
    <row r="30" spans="1:25" ht="20.100000000000001" customHeight="1" thickBot="1" x14ac:dyDescent="0.3">
      <c r="B30" s="20"/>
      <c r="C30" s="21"/>
      <c r="D30" s="21"/>
      <c r="E30" s="30"/>
      <c r="F30" s="21"/>
      <c r="G30" s="50"/>
      <c r="H30" s="48"/>
      <c r="I30" s="22"/>
      <c r="J30" s="23"/>
      <c r="K30" s="71" t="s">
        <v>18</v>
      </c>
      <c r="L30" s="43">
        <v>37</v>
      </c>
      <c r="M30" s="78" t="s">
        <v>4</v>
      </c>
      <c r="N30" s="29"/>
      <c r="O30" s="21"/>
      <c r="P30" s="21"/>
      <c r="Q30" s="22"/>
      <c r="R30" s="21"/>
      <c r="S30" s="71" t="s">
        <v>18</v>
      </c>
      <c r="T30" s="43">
        <v>45</v>
      </c>
      <c r="U30" s="78" t="s">
        <v>4</v>
      </c>
      <c r="V30" s="21"/>
      <c r="W30" s="21"/>
      <c r="X30" s="21"/>
      <c r="Y30" s="25"/>
    </row>
    <row r="31" spans="1:25" ht="20.100000000000001" customHeight="1" x14ac:dyDescent="0.25">
      <c r="B31" s="20"/>
      <c r="C31" s="21"/>
      <c r="D31" s="21"/>
      <c r="E31" s="21"/>
      <c r="F31" s="21"/>
      <c r="G31" s="21"/>
      <c r="H31" s="21"/>
      <c r="I31" s="22"/>
      <c r="J31" s="23"/>
      <c r="K31" s="71" t="s">
        <v>19</v>
      </c>
      <c r="L31" s="43">
        <f>CAL!N81</f>
        <v>0.84</v>
      </c>
      <c r="M31" s="78"/>
      <c r="N31" s="29"/>
      <c r="O31" s="21"/>
      <c r="P31" s="21"/>
      <c r="Q31" s="22"/>
      <c r="R31" s="21"/>
      <c r="S31" s="71" t="s">
        <v>19</v>
      </c>
      <c r="T31" s="43">
        <f>CAL!Q81</f>
        <v>0.84</v>
      </c>
      <c r="U31" s="78"/>
      <c r="V31" s="21"/>
      <c r="W31" s="21"/>
      <c r="X31" s="21"/>
      <c r="Y31" s="25"/>
    </row>
    <row r="32" spans="1:25" ht="20.100000000000001" customHeight="1" x14ac:dyDescent="0.25">
      <c r="B32" s="20"/>
      <c r="C32" s="21"/>
      <c r="D32" s="21"/>
      <c r="E32" s="21"/>
      <c r="F32" s="46"/>
      <c r="G32" s="80" t="s">
        <v>47</v>
      </c>
      <c r="H32" s="45"/>
      <c r="I32" s="22"/>
      <c r="J32" s="23"/>
      <c r="K32" s="77" t="s">
        <v>21</v>
      </c>
      <c r="L32" s="43">
        <f>CAL!N82</f>
        <v>90</v>
      </c>
      <c r="M32" s="79" t="s">
        <v>3</v>
      </c>
      <c r="N32" s="46"/>
      <c r="O32" s="45" t="s">
        <v>43</v>
      </c>
      <c r="P32" s="45"/>
      <c r="Q32" s="22"/>
      <c r="R32" s="21"/>
      <c r="S32" s="77" t="s">
        <v>21</v>
      </c>
      <c r="T32" s="43">
        <f>CAL!Q82</f>
        <v>91</v>
      </c>
      <c r="U32" s="79" t="s">
        <v>3</v>
      </c>
      <c r="V32" s="45"/>
      <c r="W32" s="45" t="s">
        <v>45</v>
      </c>
      <c r="X32" s="45"/>
      <c r="Y32" s="25"/>
    </row>
    <row r="33" spans="2:25" ht="20.100000000000001" customHeight="1" x14ac:dyDescent="0.25">
      <c r="B33" s="20"/>
      <c r="C33" s="21"/>
      <c r="D33" s="21"/>
      <c r="E33" s="21"/>
      <c r="F33" s="46"/>
      <c r="G33" s="45" t="s">
        <v>48</v>
      </c>
      <c r="H33" s="45"/>
      <c r="I33" s="22"/>
      <c r="J33" s="23"/>
      <c r="K33" s="71" t="s">
        <v>20</v>
      </c>
      <c r="L33" s="37">
        <f>CAL!N83</f>
        <v>70.64</v>
      </c>
      <c r="M33" s="78" t="s">
        <v>5</v>
      </c>
      <c r="N33" s="46"/>
      <c r="O33" s="45" t="s">
        <v>44</v>
      </c>
      <c r="P33" s="45"/>
      <c r="Q33" s="22"/>
      <c r="R33" s="21"/>
      <c r="S33" s="71" t="s">
        <v>20</v>
      </c>
      <c r="T33" s="37">
        <f>CAL!Q83</f>
        <v>84.97</v>
      </c>
      <c r="U33" s="78" t="s">
        <v>5</v>
      </c>
      <c r="V33" s="45"/>
      <c r="W33" s="45" t="s">
        <v>46</v>
      </c>
      <c r="X33" s="45"/>
      <c r="Y33" s="25"/>
    </row>
    <row r="34" spans="2:25" ht="20.100000000000001" customHeight="1" thickBot="1" x14ac:dyDescent="0.3">
      <c r="B34" s="31"/>
      <c r="C34" s="32"/>
      <c r="D34" s="32"/>
      <c r="E34" s="32"/>
      <c r="F34" s="32"/>
      <c r="G34" s="32"/>
      <c r="H34" s="32"/>
      <c r="I34" s="33"/>
      <c r="J34" s="34"/>
      <c r="K34" s="35"/>
      <c r="L34" s="35"/>
      <c r="M34" s="35"/>
      <c r="N34" s="35"/>
      <c r="O34" s="35"/>
      <c r="P34" s="35"/>
      <c r="Q34" s="33"/>
      <c r="R34" s="35"/>
      <c r="S34" s="35"/>
      <c r="T34" s="32"/>
      <c r="U34" s="32"/>
      <c r="V34" s="32"/>
      <c r="W34" s="32"/>
      <c r="X34" s="32"/>
      <c r="Y34" s="36"/>
    </row>
    <row r="35" spans="2:25" ht="18" customHeight="1" x14ac:dyDescent="0.25">
      <c r="B35" s="83" t="s">
        <v>49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</row>
    <row r="36" spans="2:25" ht="18" customHeight="1" x14ac:dyDescent="0.25"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2:25" ht="18" customHeight="1" x14ac:dyDescent="0.25"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2:25" ht="18" customHeight="1" thickBot="1" x14ac:dyDescent="0.3"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1"/>
    </row>
  </sheetData>
  <sheetProtection algorithmName="SHA-512" hashValue="scTYBWMMzy9O+GZcLx7XRG1+Vd2VLWuBvEEkeyTARaqnyOFr6fIITpRPSs7VIFBASF/hZ8UPWUJ4fi8pw4LSkQ==" saltValue="WYVXSb0JjkPxeRuJOaLk+g==" spinCount="100000" sheet="1" objects="1" scenarios="1"/>
  <protectedRanges>
    <protectedRange sqref="W10 T21:T22 T25 T30:T32 V32:X33 L30:L32 N32:P33 L25 L21:L22 L10 O10 G10:H10 D10 D15:D18 E17 D22:D23 F32:H33" name="Range3"/>
    <protectedRange sqref="M6" name="Range1_1"/>
    <protectedRange sqref="W10 T21:T22 T25 T30:T32 V32:X33 O10 L10 L21:L22 L25 N32:P33 G10:H10 F32:H33 D10 D15:D18 E17 D22:D23 L30:L32" name="Range2"/>
  </protectedRanges>
  <mergeCells count="4">
    <mergeCell ref="K23:L23"/>
    <mergeCell ref="S23:T23"/>
    <mergeCell ref="G10:H10"/>
    <mergeCell ref="B35:Y38"/>
  </mergeCells>
  <dataValidations count="1">
    <dataValidation type="list" allowBlank="1" showInputMessage="1" showErrorMessage="1" sqref="M7 E7:F7">
      <formula1>#REF!</formula1>
    </dataValidation>
  </dataValidations>
  <hyperlinks>
    <hyperlink ref="M6" r:id="rId1"/>
  </hyperlinks>
  <pageMargins left="0.7" right="0.7" top="0.75" bottom="0.75" header="0.3" footer="0.3"/>
  <pageSetup paperSize="9" scale="35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CAL!$O$2:$O$3</xm:f>
          </x14:formula1>
          <xm:sqref>L10</xm:sqref>
        </x14:dataValidation>
        <x14:dataValidation type="list" allowBlank="1" showInputMessage="1" showErrorMessage="1">
          <x14:formula1>
            <xm:f>CAL!$O$2:$O$4</xm:f>
          </x14:formula1>
          <xm:sqref>D15</xm:sqref>
        </x14:dataValidation>
        <x14:dataValidation type="list" allowBlank="1" showInputMessage="1" showErrorMessage="1">
          <x14:formula1>
            <xm:f>CAL!$N$2:$N$4</xm:f>
          </x14:formula1>
          <xm:sqref>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zoomScaleNormal="100" workbookViewId="0">
      <selection activeCell="L10" sqref="L10"/>
    </sheetView>
  </sheetViews>
  <sheetFormatPr defaultRowHeight="15" x14ac:dyDescent="0.25"/>
  <cols>
    <col min="1" max="15" width="9.140625" style="54"/>
    <col min="16" max="16" width="20.85546875" style="54" bestFit="1" customWidth="1"/>
    <col min="17" max="16384" width="9.140625" style="54"/>
  </cols>
  <sheetData>
    <row r="1" spans="2:31" x14ac:dyDescent="0.25">
      <c r="J1" s="54">
        <v>1</v>
      </c>
      <c r="K1" s="54">
        <v>2.5</v>
      </c>
      <c r="L1" s="54">
        <v>0</v>
      </c>
      <c r="T1" s="55"/>
      <c r="U1" s="55">
        <f>'Cable Cal'!D10</f>
        <v>25</v>
      </c>
    </row>
    <row r="2" spans="2:31" x14ac:dyDescent="0.25">
      <c r="B2" s="54">
        <v>0.06</v>
      </c>
      <c r="C2" s="54">
        <v>0.74</v>
      </c>
      <c r="D2" s="54">
        <f t="shared" ref="D2:D44" si="0">ROUND(B2*1000/(F2/100*C2*3^0.5*$I$3),2)</f>
        <v>0.22</v>
      </c>
      <c r="E2" s="54">
        <f>IF(D2&lt;5,D2,IF(D2&lt;20,ROUND(D2,1),ROUND(D2,0)))</f>
        <v>0.22</v>
      </c>
      <c r="F2" s="54">
        <v>56</v>
      </c>
      <c r="G2" s="54">
        <f t="shared" ref="G2:G40" si="1">IF(D2&lt;$L$20,LOOKUP(D2,$L$1:$L$20,$K$1:$K$20),IF(ROUNDUP(D2/$L$16,0)*300&lt;=ROUNDUP(D2/$L$15,0)*240,300,240))</f>
        <v>2.5</v>
      </c>
      <c r="H2" s="54">
        <f>IF(D2&lt;$L$20,LOOKUP(D2,$L$1:$L$20,$J$1:$J$20),IF(ROUNDUP(D2/$L$16,0)*300&lt;=ROUNDUP(D2/$L$15,0)*240,ROUNDUP(D2/$L$16,0),ROUNDUP(D2/$L$15,0)))</f>
        <v>1</v>
      </c>
      <c r="J2" s="54">
        <v>1</v>
      </c>
      <c r="K2" s="54">
        <v>4</v>
      </c>
      <c r="L2" s="54">
        <v>16</v>
      </c>
      <c r="M2" s="54">
        <f t="shared" ref="M2:M15" si="2">L2/K1</f>
        <v>6.4</v>
      </c>
      <c r="N2" s="54" t="s">
        <v>5</v>
      </c>
      <c r="O2" s="55" t="s">
        <v>1</v>
      </c>
      <c r="T2" s="55"/>
      <c r="U2" s="56"/>
      <c r="Y2" s="54">
        <v>2.5</v>
      </c>
      <c r="Z2" s="54">
        <v>2.5</v>
      </c>
      <c r="AA2" s="54">
        <v>6</v>
      </c>
      <c r="AB2" s="54">
        <v>9</v>
      </c>
      <c r="AC2" s="54">
        <v>0.1</v>
      </c>
      <c r="AD2" s="54">
        <v>0.16</v>
      </c>
      <c r="AE2" s="54" t="str">
        <f>CONCATENATE(AC2,"-",AD2)</f>
        <v>0.1-0.16</v>
      </c>
    </row>
    <row r="3" spans="2:31" x14ac:dyDescent="0.25">
      <c r="B3" s="54">
        <v>0.09</v>
      </c>
      <c r="C3" s="54">
        <v>0.74</v>
      </c>
      <c r="D3" s="54">
        <f t="shared" si="0"/>
        <v>0.31</v>
      </c>
      <c r="E3" s="54">
        <f t="shared" ref="E3:E44" si="3">IF(D3&lt;5,D3,IF(D3&lt;20,ROUND(D3,1),ROUND(D3,0)))</f>
        <v>0.31</v>
      </c>
      <c r="F3" s="54">
        <v>60</v>
      </c>
      <c r="G3" s="54">
        <f t="shared" si="1"/>
        <v>2.5</v>
      </c>
      <c r="H3" s="54">
        <f t="shared" ref="H3:H65" si="4">IF(D3&lt;$L$20,LOOKUP(D3,$L$1:$L$20,$J$1:$J$20),IF(ROUNDUP(D3/$L$16,0)*300&lt;=ROUNDUP(D3/$L$15,0)*240,ROUNDUP(D3/$L$16,0),ROUNDUP(D3/$L$15,0)))</f>
        <v>1</v>
      </c>
      <c r="I3" s="57">
        <f>U4</f>
        <v>380</v>
      </c>
      <c r="J3" s="54">
        <v>1</v>
      </c>
      <c r="K3" s="54">
        <v>6</v>
      </c>
      <c r="L3" s="54">
        <v>25</v>
      </c>
      <c r="M3" s="54">
        <f t="shared" si="2"/>
        <v>6.25</v>
      </c>
      <c r="N3" s="54" t="s">
        <v>4</v>
      </c>
      <c r="O3" s="55" t="s">
        <v>2</v>
      </c>
      <c r="T3" s="55"/>
      <c r="U3" s="55" t="str">
        <f>'Cable Cal'!D15</f>
        <v>1PH</v>
      </c>
      <c r="V3" s="54" t="str">
        <f>IF(U3=O2,"AC/1PH/50HZ",IF(U3=O3,"AC/3PH/50HZ",O4))</f>
        <v>AC/1PH/50HZ</v>
      </c>
      <c r="Y3" s="54">
        <f>(Y4-Y2)/4+Y2</f>
        <v>2.875</v>
      </c>
      <c r="Z3" s="54">
        <v>4</v>
      </c>
      <c r="AA3" s="54">
        <v>9</v>
      </c>
      <c r="AB3" s="54">
        <v>12</v>
      </c>
      <c r="AC3" s="54">
        <v>0.16</v>
      </c>
      <c r="AD3" s="54">
        <v>0.25</v>
      </c>
      <c r="AE3" s="54" t="str">
        <f t="shared" ref="AE3:AE19" si="5">CONCATENATE(AC3,"-",AD3)</f>
        <v>0.16-0.25</v>
      </c>
    </row>
    <row r="4" spans="2:31" x14ac:dyDescent="0.25">
      <c r="B4" s="54">
        <v>0.12</v>
      </c>
      <c r="C4" s="54">
        <v>0.75</v>
      </c>
      <c r="D4" s="54">
        <f t="shared" si="0"/>
        <v>0.44</v>
      </c>
      <c r="E4" s="54">
        <f t="shared" si="3"/>
        <v>0.44</v>
      </c>
      <c r="F4" s="54">
        <v>55</v>
      </c>
      <c r="G4" s="54">
        <f t="shared" si="1"/>
        <v>2.5</v>
      </c>
      <c r="H4" s="54">
        <f t="shared" si="4"/>
        <v>1</v>
      </c>
      <c r="J4" s="54">
        <v>1</v>
      </c>
      <c r="K4" s="54">
        <v>10</v>
      </c>
      <c r="L4" s="54">
        <v>34</v>
      </c>
      <c r="M4" s="54">
        <f t="shared" si="2"/>
        <v>5.666666666666667</v>
      </c>
      <c r="N4" s="54" t="s">
        <v>39</v>
      </c>
      <c r="O4" s="54" t="s">
        <v>35</v>
      </c>
      <c r="P4" s="54" t="str">
        <f>CONCATENATE(U4,"V",V3)</f>
        <v>380VAC/1PH/50HZ</v>
      </c>
      <c r="T4" s="55"/>
      <c r="U4" s="55">
        <f>'Cable Cal'!D16</f>
        <v>380</v>
      </c>
      <c r="V4" s="54" t="str">
        <f>'Cable Cal'!D15</f>
        <v>1PH</v>
      </c>
      <c r="Y4" s="54">
        <v>4</v>
      </c>
      <c r="Z4" s="54">
        <v>4</v>
      </c>
      <c r="AA4" s="54">
        <v>12</v>
      </c>
      <c r="AB4" s="54">
        <v>18</v>
      </c>
      <c r="AC4" s="54">
        <v>0.25</v>
      </c>
      <c r="AD4" s="54">
        <v>0.4</v>
      </c>
      <c r="AE4" s="54" t="str">
        <f t="shared" si="5"/>
        <v>0.25-0.4</v>
      </c>
    </row>
    <row r="5" spans="2:31" x14ac:dyDescent="0.25">
      <c r="B5" s="54">
        <v>0.18</v>
      </c>
      <c r="C5" s="54">
        <v>0.75</v>
      </c>
      <c r="D5" s="54">
        <f t="shared" si="0"/>
        <v>0.61</v>
      </c>
      <c r="E5" s="54">
        <f t="shared" si="3"/>
        <v>0.61</v>
      </c>
      <c r="F5" s="54">
        <v>60</v>
      </c>
      <c r="G5" s="54">
        <f t="shared" si="1"/>
        <v>2.5</v>
      </c>
      <c r="H5" s="54">
        <f t="shared" si="4"/>
        <v>1</v>
      </c>
      <c r="J5" s="54">
        <v>1</v>
      </c>
      <c r="K5" s="54">
        <v>16</v>
      </c>
      <c r="L5" s="54">
        <v>43</v>
      </c>
      <c r="M5" s="54">
        <f t="shared" si="2"/>
        <v>4.3</v>
      </c>
      <c r="S5" s="54" t="s">
        <v>12</v>
      </c>
      <c r="T5" s="55"/>
      <c r="U5" s="55">
        <f>'Cable Cal'!D17</f>
        <v>1242</v>
      </c>
      <c r="V5" s="54" t="str">
        <f>'Cable Cal'!E17</f>
        <v>A</v>
      </c>
      <c r="Y5" s="54">
        <f>(Y6-Y4)/4+Y4</f>
        <v>4.5</v>
      </c>
      <c r="Z5" s="54">
        <v>6</v>
      </c>
      <c r="AA5" s="54">
        <v>18</v>
      </c>
      <c r="AB5" s="54">
        <v>25</v>
      </c>
      <c r="AC5" s="54">
        <v>0.4</v>
      </c>
      <c r="AD5" s="54">
        <v>0.63</v>
      </c>
      <c r="AE5" s="54" t="str">
        <f t="shared" si="5"/>
        <v>0.4-0.63</v>
      </c>
    </row>
    <row r="6" spans="2:31" x14ac:dyDescent="0.25">
      <c r="B6" s="54">
        <v>0.25</v>
      </c>
      <c r="C6" s="54">
        <v>0.76</v>
      </c>
      <c r="D6" s="54">
        <f t="shared" si="0"/>
        <v>0.78</v>
      </c>
      <c r="E6" s="54">
        <f t="shared" si="3"/>
        <v>0.78</v>
      </c>
      <c r="F6" s="54">
        <v>64</v>
      </c>
      <c r="G6" s="54">
        <f t="shared" si="1"/>
        <v>2.5</v>
      </c>
      <c r="H6" s="54">
        <f t="shared" si="4"/>
        <v>1</v>
      </c>
      <c r="J6" s="54">
        <v>1</v>
      </c>
      <c r="K6" s="54">
        <v>25</v>
      </c>
      <c r="L6" s="54">
        <v>59</v>
      </c>
      <c r="M6" s="54">
        <f t="shared" si="2"/>
        <v>3.6875</v>
      </c>
      <c r="N6" s="55"/>
      <c r="O6" s="54">
        <f>IF(V5=N2,U5,IF(V5=N3,(U5*1000/(U6*U4)),(U5/(U6*U4))))</f>
        <v>1242</v>
      </c>
      <c r="T6" s="55"/>
      <c r="U6" s="55">
        <f>'Cable Cal'!D18</f>
        <v>0.82</v>
      </c>
      <c r="V6" s="54" t="str">
        <f>IF(V4=N8,"Not Used"," ")</f>
        <v xml:space="preserve"> </v>
      </c>
      <c r="Y6" s="54">
        <v>6</v>
      </c>
      <c r="Z6" s="54">
        <v>6</v>
      </c>
      <c r="AA6" s="54">
        <v>25</v>
      </c>
      <c r="AB6" s="54">
        <v>32</v>
      </c>
      <c r="AC6" s="54">
        <v>0.63</v>
      </c>
      <c r="AD6" s="54">
        <v>1</v>
      </c>
      <c r="AE6" s="54" t="str">
        <f t="shared" si="5"/>
        <v>0.63-1</v>
      </c>
    </row>
    <row r="7" spans="2:31" x14ac:dyDescent="0.25">
      <c r="B7" s="54">
        <v>0.37</v>
      </c>
      <c r="C7" s="54">
        <v>0.76</v>
      </c>
      <c r="D7" s="54">
        <f t="shared" si="0"/>
        <v>1.1200000000000001</v>
      </c>
      <c r="E7" s="54">
        <f t="shared" si="3"/>
        <v>1.1200000000000001</v>
      </c>
      <c r="F7" s="54">
        <v>66</v>
      </c>
      <c r="G7" s="54">
        <f t="shared" si="1"/>
        <v>2.5</v>
      </c>
      <c r="H7" s="54">
        <f t="shared" si="4"/>
        <v>1</v>
      </c>
      <c r="J7" s="54">
        <v>1</v>
      </c>
      <c r="K7" s="54">
        <v>35</v>
      </c>
      <c r="L7" s="54">
        <v>80</v>
      </c>
      <c r="M7" s="54">
        <f t="shared" si="2"/>
        <v>3.2</v>
      </c>
      <c r="N7" s="55"/>
      <c r="O7" s="54">
        <f>IF(V5=N2,U5,IF(V5=N3,(U5*1000/(3^0.5*U6*U4)),(U5/(3^0.5*U6*U4))))</f>
        <v>1242</v>
      </c>
      <c r="T7" s="55"/>
      <c r="U7" s="55"/>
      <c r="Y7" s="54">
        <f>(Y8-Y6)/4+Y6</f>
        <v>7</v>
      </c>
      <c r="Z7" s="54">
        <v>10</v>
      </c>
      <c r="AA7" s="54">
        <v>32</v>
      </c>
      <c r="AB7" s="54">
        <v>40</v>
      </c>
      <c r="AC7" s="54">
        <v>1</v>
      </c>
      <c r="AD7" s="54">
        <v>1.6</v>
      </c>
      <c r="AE7" s="54" t="str">
        <f t="shared" si="5"/>
        <v>1-1.6</v>
      </c>
    </row>
    <row r="8" spans="2:31" x14ac:dyDescent="0.25">
      <c r="B8" s="54">
        <v>0.55000000000000004</v>
      </c>
      <c r="C8" s="54">
        <v>0.8</v>
      </c>
      <c r="D8" s="54">
        <f t="shared" si="0"/>
        <v>1.74</v>
      </c>
      <c r="E8" s="54">
        <f t="shared" si="3"/>
        <v>1.74</v>
      </c>
      <c r="F8" s="54">
        <v>60</v>
      </c>
      <c r="G8" s="54">
        <f t="shared" si="1"/>
        <v>2.5</v>
      </c>
      <c r="H8" s="54">
        <f t="shared" si="4"/>
        <v>1</v>
      </c>
      <c r="J8" s="54">
        <v>1</v>
      </c>
      <c r="K8" s="54">
        <v>50</v>
      </c>
      <c r="L8" s="54">
        <v>105</v>
      </c>
      <c r="M8" s="54">
        <f t="shared" si="2"/>
        <v>3</v>
      </c>
      <c r="O8" s="54">
        <f>IF(V5=N2,U5,IF(V5=N3,(U5*1000/(U4)),(U5/(U4))))</f>
        <v>1242</v>
      </c>
      <c r="T8" s="56"/>
      <c r="U8" s="55">
        <f>'Cable Cal'!D22</f>
        <v>30</v>
      </c>
      <c r="Y8" s="54">
        <v>10</v>
      </c>
      <c r="Z8" s="54">
        <v>10</v>
      </c>
      <c r="AA8" s="54">
        <v>40</v>
      </c>
      <c r="AB8" s="54">
        <v>50</v>
      </c>
      <c r="AC8" s="54">
        <v>1.6</v>
      </c>
      <c r="AD8" s="54">
        <v>2.5</v>
      </c>
      <c r="AE8" s="54" t="str">
        <f t="shared" si="5"/>
        <v>1.6-2.5</v>
      </c>
    </row>
    <row r="9" spans="2:31" x14ac:dyDescent="0.25">
      <c r="B9" s="54">
        <v>0.75</v>
      </c>
      <c r="C9" s="54">
        <v>0.8</v>
      </c>
      <c r="D9" s="54">
        <f t="shared" si="0"/>
        <v>1.92</v>
      </c>
      <c r="E9" s="54">
        <f t="shared" si="3"/>
        <v>1.92</v>
      </c>
      <c r="F9" s="54">
        <v>74</v>
      </c>
      <c r="G9" s="54">
        <f t="shared" si="1"/>
        <v>2.5</v>
      </c>
      <c r="H9" s="54">
        <f t="shared" si="4"/>
        <v>1</v>
      </c>
      <c r="J9" s="54">
        <v>1</v>
      </c>
      <c r="K9" s="54">
        <v>70</v>
      </c>
      <c r="L9" s="54">
        <v>130</v>
      </c>
      <c r="M9" s="54">
        <f t="shared" si="2"/>
        <v>2.6</v>
      </c>
      <c r="T9" s="55"/>
      <c r="U9" s="55">
        <f>'Cable Cal'!D23</f>
        <v>2.5</v>
      </c>
      <c r="Y9" s="54">
        <f>(Y10-Y8)/4+Y8</f>
        <v>11.5</v>
      </c>
      <c r="Z9" s="54">
        <v>16</v>
      </c>
      <c r="AA9" s="54">
        <v>50</v>
      </c>
      <c r="AB9" s="54">
        <v>63</v>
      </c>
      <c r="AC9" s="54">
        <v>2.5</v>
      </c>
      <c r="AD9" s="54">
        <v>4</v>
      </c>
      <c r="AE9" s="54" t="str">
        <f t="shared" si="5"/>
        <v>2.5-4</v>
      </c>
    </row>
    <row r="10" spans="2:31" x14ac:dyDescent="0.25">
      <c r="B10" s="54">
        <v>1.1000000000000001</v>
      </c>
      <c r="C10" s="54">
        <v>0.81</v>
      </c>
      <c r="D10" s="54">
        <f t="shared" si="0"/>
        <v>2.68</v>
      </c>
      <c r="E10" s="54">
        <f t="shared" si="3"/>
        <v>2.68</v>
      </c>
      <c r="F10" s="54">
        <v>77</v>
      </c>
      <c r="G10" s="54">
        <f t="shared" si="1"/>
        <v>2.5</v>
      </c>
      <c r="H10" s="54">
        <f t="shared" si="4"/>
        <v>1</v>
      </c>
      <c r="J10" s="54">
        <v>1</v>
      </c>
      <c r="K10" s="54">
        <v>95</v>
      </c>
      <c r="L10" s="54">
        <v>160</v>
      </c>
      <c r="M10" s="54">
        <f t="shared" si="2"/>
        <v>2.2857142857142856</v>
      </c>
      <c r="T10" s="55"/>
      <c r="U10" s="55"/>
      <c r="Y10" s="54">
        <v>16</v>
      </c>
      <c r="Z10" s="54">
        <v>16</v>
      </c>
      <c r="AA10" s="54">
        <v>63</v>
      </c>
      <c r="AB10" s="54">
        <v>80</v>
      </c>
      <c r="AC10" s="54">
        <v>4</v>
      </c>
      <c r="AD10" s="54">
        <v>6.3</v>
      </c>
      <c r="AE10" s="54" t="str">
        <f t="shared" si="5"/>
        <v>4-6.3</v>
      </c>
    </row>
    <row r="11" spans="2:31" x14ac:dyDescent="0.25">
      <c r="B11" s="54">
        <v>1.5</v>
      </c>
      <c r="C11" s="54">
        <v>0.82</v>
      </c>
      <c r="D11" s="54">
        <f t="shared" si="0"/>
        <v>3.56</v>
      </c>
      <c r="E11" s="54">
        <f t="shared" si="3"/>
        <v>3.56</v>
      </c>
      <c r="F11" s="54">
        <v>78</v>
      </c>
      <c r="G11" s="54">
        <f t="shared" si="1"/>
        <v>2.5</v>
      </c>
      <c r="H11" s="54">
        <f t="shared" si="4"/>
        <v>1</v>
      </c>
      <c r="J11" s="54">
        <v>1</v>
      </c>
      <c r="K11" s="54">
        <v>120</v>
      </c>
      <c r="L11" s="54">
        <v>200</v>
      </c>
      <c r="M11" s="54">
        <f t="shared" si="2"/>
        <v>2.1052631578947367</v>
      </c>
      <c r="N11" s="57">
        <f>IF(V4=N8,1,U6)</f>
        <v>0.82</v>
      </c>
      <c r="O11" s="57">
        <f>IF(U3=O2,O6,IF(U3=O3,O7,O8))</f>
        <v>1242</v>
      </c>
      <c r="P11" s="57">
        <f>U9</f>
        <v>2.5</v>
      </c>
      <c r="T11" s="55"/>
      <c r="U11" s="55">
        <f>CAL!AK7</f>
        <v>0</v>
      </c>
      <c r="Y11" s="54">
        <f>(Y12-Y10)/4+Y10</f>
        <v>18.25</v>
      </c>
      <c r="Z11" s="54">
        <v>25</v>
      </c>
      <c r="AA11" s="54">
        <v>80</v>
      </c>
      <c r="AB11" s="54">
        <v>100</v>
      </c>
      <c r="AC11" s="54">
        <v>6.3</v>
      </c>
      <c r="AD11" s="54">
        <v>10</v>
      </c>
      <c r="AE11" s="54" t="str">
        <f t="shared" si="5"/>
        <v>6.3-10</v>
      </c>
    </row>
    <row r="12" spans="2:31" x14ac:dyDescent="0.25">
      <c r="B12" s="54">
        <v>2.2000000000000002</v>
      </c>
      <c r="C12" s="54">
        <v>0.82</v>
      </c>
      <c r="D12" s="54">
        <f t="shared" si="0"/>
        <v>5.03</v>
      </c>
      <c r="E12" s="54">
        <f t="shared" si="3"/>
        <v>5</v>
      </c>
      <c r="F12" s="54">
        <v>81</v>
      </c>
      <c r="G12" s="54">
        <f t="shared" si="1"/>
        <v>2.5</v>
      </c>
      <c r="H12" s="54">
        <f t="shared" si="4"/>
        <v>1</v>
      </c>
      <c r="J12" s="54">
        <v>1</v>
      </c>
      <c r="K12" s="54">
        <v>150</v>
      </c>
      <c r="L12" s="54">
        <v>235</v>
      </c>
      <c r="M12" s="54">
        <f t="shared" si="2"/>
        <v>1.9583333333333333</v>
      </c>
      <c r="O12" s="54">
        <f>O11*100/LOOKUP(N13,J22:J37,K22:K37)</f>
        <v>1242</v>
      </c>
      <c r="T12" s="55"/>
      <c r="U12" s="55">
        <f>S13</f>
        <v>0.28000000000000003</v>
      </c>
      <c r="Y12" s="54">
        <v>25</v>
      </c>
      <c r="Z12" s="54">
        <v>25</v>
      </c>
      <c r="AA12" s="54">
        <v>100</v>
      </c>
      <c r="AB12" s="54">
        <v>125</v>
      </c>
      <c r="AC12" s="54">
        <v>10</v>
      </c>
      <c r="AD12" s="54">
        <v>16</v>
      </c>
      <c r="AE12" s="54" t="str">
        <f t="shared" si="5"/>
        <v>10-16</v>
      </c>
    </row>
    <row r="13" spans="2:31" x14ac:dyDescent="0.25">
      <c r="B13" s="54">
        <v>3</v>
      </c>
      <c r="C13" s="54">
        <v>0.83</v>
      </c>
      <c r="D13" s="54">
        <f t="shared" si="0"/>
        <v>6.78</v>
      </c>
      <c r="E13" s="54">
        <f t="shared" si="3"/>
        <v>6.8</v>
      </c>
      <c r="F13" s="54">
        <v>81</v>
      </c>
      <c r="G13" s="54">
        <f t="shared" si="1"/>
        <v>2.5</v>
      </c>
      <c r="H13" s="54">
        <f t="shared" si="4"/>
        <v>1</v>
      </c>
      <c r="J13" s="54">
        <v>1</v>
      </c>
      <c r="K13" s="54">
        <v>185</v>
      </c>
      <c r="L13" s="54">
        <v>285</v>
      </c>
      <c r="M13" s="54">
        <f t="shared" si="2"/>
        <v>1.9</v>
      </c>
      <c r="N13" s="54">
        <f>U1</f>
        <v>25</v>
      </c>
      <c r="O13" s="54">
        <f>MAX(O12,O14)</f>
        <v>1242</v>
      </c>
      <c r="P13" s="54">
        <f>IF(O13&lt;$L$20,LOOKUP(O13,$L$1:$L$20,$K$1:$K$20),IF(ROUNDUP(O13/$L$16,0)*300&lt;=ROUNDUP(O13/$L$15,0)*240,300,240))</f>
        <v>300</v>
      </c>
      <c r="Q13" s="54">
        <f>IF(O13&lt;$L$20,LOOKUP(O13,$L$1:$L$20,$J$1:$J$20),IF(ROUNDUP(O13/$L$16,0)*300&lt;=ROUNDUP(O13/$L$15,0)*240,ROUNDUP(O13/$L$16,0),ROUNDUP(O13/$L$15,0)))</f>
        <v>3</v>
      </c>
      <c r="R13" s="57">
        <f>U8</f>
        <v>30</v>
      </c>
      <c r="S13" s="54">
        <f>ROUND((3^0.5*(O11/R16)*R13*(1000/56/Q16)*N11)/(10*I3),2)</f>
        <v>0.28000000000000003</v>
      </c>
      <c r="U13" s="54">
        <f>S13/P11</f>
        <v>0.11200000000000002</v>
      </c>
      <c r="Y13" s="54">
        <f>(Y14-Y12)/4+Y12</f>
        <v>27.5</v>
      </c>
      <c r="Z13" s="54">
        <v>35</v>
      </c>
      <c r="AA13" s="54">
        <v>125</v>
      </c>
      <c r="AB13" s="54">
        <v>160</v>
      </c>
      <c r="AC13" s="54">
        <v>16</v>
      </c>
      <c r="AD13" s="54">
        <v>25</v>
      </c>
      <c r="AE13" s="54" t="str">
        <f t="shared" si="5"/>
        <v>16-25</v>
      </c>
    </row>
    <row r="14" spans="2:31" x14ac:dyDescent="0.25">
      <c r="B14" s="54">
        <v>4</v>
      </c>
      <c r="C14" s="54">
        <v>0.83</v>
      </c>
      <c r="D14" s="54">
        <f t="shared" si="0"/>
        <v>8.93</v>
      </c>
      <c r="E14" s="54">
        <f t="shared" si="3"/>
        <v>8.9</v>
      </c>
      <c r="F14" s="54">
        <v>82</v>
      </c>
      <c r="G14" s="54">
        <f t="shared" si="1"/>
        <v>2.5</v>
      </c>
      <c r="H14" s="54">
        <f t="shared" si="4"/>
        <v>1</v>
      </c>
      <c r="J14" s="54">
        <v>1</v>
      </c>
      <c r="K14" s="54">
        <v>240</v>
      </c>
      <c r="L14" s="54">
        <v>325</v>
      </c>
      <c r="M14" s="54">
        <f t="shared" si="2"/>
        <v>1.7567567567567568</v>
      </c>
      <c r="P14" s="54">
        <f>IF(O13&lt;$L$20,LOOKUP(O13,$L$1:$L$20,$K$1:$K$20),IF(ROUNDUP(O13/$L$16,0)*300&lt;=ROUNDUP(O13/$L$15,0)*240,300,240))*IF(O13&lt;$L$20,LOOKUP(O13,$L$1:$L$20,$J$1:$J$20),IF(ROUNDUP(O13/$L$16,0)*300&lt;=ROUNDUP(O13/$L$15,0)*240,ROUNDUP(O13/$L$16,0),ROUNDUP(O13/$L$15,0)))</f>
        <v>900</v>
      </c>
      <c r="Y14" s="54">
        <v>35</v>
      </c>
      <c r="Z14" s="54">
        <v>35</v>
      </c>
      <c r="AA14" s="54">
        <v>160</v>
      </c>
      <c r="AB14" s="54">
        <v>200</v>
      </c>
      <c r="AC14" s="54">
        <v>25</v>
      </c>
      <c r="AD14" s="54">
        <v>40</v>
      </c>
      <c r="AE14" s="54" t="str">
        <f t="shared" si="5"/>
        <v>25-40</v>
      </c>
    </row>
    <row r="15" spans="2:31" x14ac:dyDescent="0.25">
      <c r="B15" s="54">
        <v>5.5</v>
      </c>
      <c r="C15" s="54">
        <v>0.85</v>
      </c>
      <c r="D15" s="54">
        <f t="shared" si="0"/>
        <v>11.84</v>
      </c>
      <c r="E15" s="54">
        <f t="shared" si="3"/>
        <v>11.8</v>
      </c>
      <c r="F15" s="54">
        <v>83</v>
      </c>
      <c r="G15" s="54">
        <f t="shared" si="1"/>
        <v>2.5</v>
      </c>
      <c r="H15" s="54">
        <f t="shared" si="4"/>
        <v>1</v>
      </c>
      <c r="J15" s="54">
        <v>1</v>
      </c>
      <c r="K15" s="54">
        <v>300</v>
      </c>
      <c r="L15" s="54">
        <v>400</v>
      </c>
      <c r="M15" s="54">
        <f t="shared" si="2"/>
        <v>1.6666666666666667</v>
      </c>
      <c r="N15" s="54" t="s">
        <v>11</v>
      </c>
      <c r="O15" s="54">
        <f>IF(V4=N6,O16,IF(V4=N7,O17,O18))</f>
        <v>135.25</v>
      </c>
      <c r="P15" s="54">
        <f>IF(O15&lt;P14,P14,O15)</f>
        <v>900</v>
      </c>
      <c r="Q15" s="54">
        <f>IF(O15&lt;P14*1.005,P13,IF(P15&lt;320,LOOKUP(P15,Y2:Y31,Z2:Z31),IF(P15&lt;620,LOOKUP(P15/2,Y2:Y31,Z2:Z31),240)))</f>
        <v>300</v>
      </c>
      <c r="R15" s="54">
        <f>IF(O15&lt;P14*1.005,Q13,IF(P15&lt;320,1,IF(P15&lt;620,2,ROUNDUP(P15/240,0))))</f>
        <v>3</v>
      </c>
      <c r="T15" s="54" t="str">
        <f>CONCATENATE(IF(R16=1,U15,V15),"mm2")</f>
        <v>3(3/5x300)mm2</v>
      </c>
      <c r="U15" s="54" t="str">
        <f>CONCATENATE(IF(Q16&lt;25,V16,U16),"x",Q16)</f>
        <v>3/5x300</v>
      </c>
      <c r="V15" s="54" t="str">
        <f>CONCATENATE(R16,"(",IF(Q16&lt;25,V16,U16),"x",Q16,")")</f>
        <v>3(3/5x300)</v>
      </c>
      <c r="Y15" s="54">
        <f>(Y16-Y14)/4+Y14</f>
        <v>38.75</v>
      </c>
      <c r="Z15" s="54">
        <v>50</v>
      </c>
      <c r="AA15" s="54">
        <v>200</v>
      </c>
      <c r="AB15" s="54">
        <v>250</v>
      </c>
      <c r="AC15" s="54">
        <v>40</v>
      </c>
      <c r="AD15" s="54">
        <v>63</v>
      </c>
      <c r="AE15" s="54" t="str">
        <f t="shared" si="5"/>
        <v>40-63</v>
      </c>
    </row>
    <row r="16" spans="2:31" x14ac:dyDescent="0.25">
      <c r="B16" s="54">
        <v>7.5</v>
      </c>
      <c r="C16" s="54">
        <v>0.85</v>
      </c>
      <c r="D16" s="54">
        <f t="shared" si="0"/>
        <v>16.149999999999999</v>
      </c>
      <c r="E16" s="54">
        <f t="shared" si="3"/>
        <v>16.2</v>
      </c>
      <c r="F16" s="54">
        <v>83</v>
      </c>
      <c r="G16" s="54">
        <f t="shared" si="1"/>
        <v>4</v>
      </c>
      <c r="H16" s="54">
        <f t="shared" si="4"/>
        <v>1</v>
      </c>
      <c r="J16" s="54">
        <v>2</v>
      </c>
      <c r="K16" s="54">
        <v>150</v>
      </c>
      <c r="L16" s="54">
        <v>490</v>
      </c>
      <c r="N16" s="54">
        <f>(1-N11^2)^0.5</f>
        <v>0.57236352085016751</v>
      </c>
      <c r="O16" s="54">
        <f>ROUND(2*100*R13*O11*N11/(58*I3*P11),2)</f>
        <v>110.9</v>
      </c>
      <c r="P16" s="55"/>
      <c r="Q16" s="54">
        <f>IF(Q15*R15&gt;P13*Q13,Q15,P13)</f>
        <v>300</v>
      </c>
      <c r="R16" s="54">
        <f>IF(Q15*R15&gt;P13*Q13,R15,Q13)</f>
        <v>3</v>
      </c>
      <c r="U16" s="54">
        <v>3.5</v>
      </c>
      <c r="V16" s="54">
        <v>4</v>
      </c>
      <c r="Y16" s="54">
        <v>50</v>
      </c>
      <c r="Z16" s="54">
        <v>50</v>
      </c>
      <c r="AA16" s="54">
        <v>250</v>
      </c>
      <c r="AB16" s="54">
        <v>315</v>
      </c>
      <c r="AC16" s="54">
        <v>63</v>
      </c>
      <c r="AD16" s="54">
        <v>80</v>
      </c>
      <c r="AE16" s="54" t="str">
        <f t="shared" si="5"/>
        <v>63-80</v>
      </c>
    </row>
    <row r="17" spans="2:31" x14ac:dyDescent="0.25">
      <c r="B17" s="54">
        <v>9</v>
      </c>
      <c r="C17" s="54">
        <v>0.86</v>
      </c>
      <c r="D17" s="54">
        <f t="shared" si="0"/>
        <v>18.93</v>
      </c>
      <c r="E17" s="54">
        <f t="shared" si="3"/>
        <v>18.899999999999999</v>
      </c>
      <c r="F17" s="54">
        <v>84</v>
      </c>
      <c r="G17" s="54">
        <f t="shared" si="1"/>
        <v>4</v>
      </c>
      <c r="H17" s="54">
        <f t="shared" si="4"/>
        <v>1</v>
      </c>
      <c r="J17" s="54">
        <v>2</v>
      </c>
      <c r="K17" s="54">
        <v>185</v>
      </c>
      <c r="L17" s="54">
        <v>550</v>
      </c>
      <c r="O17" s="54">
        <f>ROUND(3^0.5*100*R13*O11*N11/(58*I3*P11),2)</f>
        <v>96.04</v>
      </c>
      <c r="P17" s="55"/>
      <c r="Y17" s="54">
        <f>(Y18-Y16)/4+Y16</f>
        <v>55</v>
      </c>
      <c r="Z17" s="54">
        <v>70</v>
      </c>
      <c r="AA17" s="54">
        <v>315</v>
      </c>
      <c r="AB17" s="54">
        <v>400</v>
      </c>
      <c r="AC17" s="54">
        <v>80</v>
      </c>
      <c r="AD17" s="54">
        <v>125</v>
      </c>
      <c r="AE17" s="54" t="str">
        <f t="shared" si="5"/>
        <v>80-125</v>
      </c>
    </row>
    <row r="18" spans="2:31" x14ac:dyDescent="0.25">
      <c r="B18" s="54">
        <v>11</v>
      </c>
      <c r="C18" s="54">
        <v>0.86</v>
      </c>
      <c r="D18" s="54">
        <f t="shared" si="0"/>
        <v>22.34</v>
      </c>
      <c r="E18" s="54">
        <f t="shared" si="3"/>
        <v>22</v>
      </c>
      <c r="F18" s="54">
        <v>87</v>
      </c>
      <c r="G18" s="54">
        <f t="shared" si="1"/>
        <v>4</v>
      </c>
      <c r="H18" s="54">
        <f t="shared" si="4"/>
        <v>1</v>
      </c>
      <c r="J18" s="54">
        <v>2</v>
      </c>
      <c r="K18" s="54">
        <v>240</v>
      </c>
      <c r="L18" s="54">
        <v>670</v>
      </c>
      <c r="O18" s="54">
        <f>ROUND(2*100*R13*O11/(58*I3*P11),2)</f>
        <v>135.25</v>
      </c>
      <c r="Y18" s="54">
        <v>70</v>
      </c>
      <c r="Z18" s="54">
        <v>70</v>
      </c>
      <c r="AA18" s="54">
        <v>400</v>
      </c>
      <c r="AB18" s="54">
        <v>450</v>
      </c>
      <c r="AC18" s="54">
        <v>125</v>
      </c>
      <c r="AD18" s="54">
        <v>160</v>
      </c>
      <c r="AE18" s="54" t="str">
        <f t="shared" si="5"/>
        <v>125-160</v>
      </c>
    </row>
    <row r="19" spans="2:31" x14ac:dyDescent="0.25">
      <c r="B19" s="54">
        <v>15</v>
      </c>
      <c r="C19" s="54">
        <v>0.86</v>
      </c>
      <c r="D19" s="54">
        <f t="shared" si="0"/>
        <v>30.46</v>
      </c>
      <c r="E19" s="54">
        <f t="shared" si="3"/>
        <v>30</v>
      </c>
      <c r="F19" s="54">
        <v>87</v>
      </c>
      <c r="G19" s="54">
        <f t="shared" si="1"/>
        <v>6</v>
      </c>
      <c r="H19" s="54">
        <f t="shared" si="4"/>
        <v>1</v>
      </c>
      <c r="J19" s="54">
        <v>2</v>
      </c>
      <c r="K19" s="54">
        <v>300</v>
      </c>
      <c r="L19" s="54">
        <v>830</v>
      </c>
      <c r="Y19" s="54">
        <f>(Y20-Y18)/4+Y18</f>
        <v>76.25</v>
      </c>
      <c r="Z19" s="54">
        <v>95</v>
      </c>
      <c r="AA19" s="54">
        <v>450</v>
      </c>
      <c r="AB19" s="54">
        <v>500</v>
      </c>
      <c r="AC19" s="54">
        <v>160</v>
      </c>
      <c r="AD19" s="54">
        <v>220</v>
      </c>
      <c r="AE19" s="54" t="str">
        <f t="shared" si="5"/>
        <v>160-220</v>
      </c>
    </row>
    <row r="20" spans="2:31" x14ac:dyDescent="0.25">
      <c r="B20" s="54">
        <v>18.5</v>
      </c>
      <c r="C20" s="54">
        <v>0.83</v>
      </c>
      <c r="D20" s="54">
        <f t="shared" si="0"/>
        <v>38.479999999999997</v>
      </c>
      <c r="E20" s="54">
        <f t="shared" si="3"/>
        <v>38</v>
      </c>
      <c r="F20" s="54">
        <v>88</v>
      </c>
      <c r="G20" s="54">
        <f t="shared" si="1"/>
        <v>10</v>
      </c>
      <c r="H20" s="54">
        <f t="shared" si="4"/>
        <v>1</v>
      </c>
      <c r="L20" s="54">
        <v>980</v>
      </c>
      <c r="Y20" s="54">
        <v>95</v>
      </c>
      <c r="Z20" s="54">
        <v>95</v>
      </c>
      <c r="AA20" s="54">
        <v>500</v>
      </c>
      <c r="AB20" s="54">
        <v>630</v>
      </c>
      <c r="AC20" s="54">
        <v>220</v>
      </c>
      <c r="AE20" s="54">
        <f t="shared" ref="AE20:AE32" si="6">AC21</f>
        <v>250</v>
      </c>
    </row>
    <row r="21" spans="2:31" x14ac:dyDescent="0.25">
      <c r="B21" s="54">
        <v>22</v>
      </c>
      <c r="C21" s="54">
        <v>0.83</v>
      </c>
      <c r="D21" s="54">
        <f t="shared" si="0"/>
        <v>45.25</v>
      </c>
      <c r="E21" s="54">
        <f t="shared" si="3"/>
        <v>45</v>
      </c>
      <c r="F21" s="54">
        <v>89</v>
      </c>
      <c r="G21" s="54">
        <f t="shared" si="1"/>
        <v>16</v>
      </c>
      <c r="H21" s="54">
        <f t="shared" si="4"/>
        <v>1</v>
      </c>
      <c r="J21" s="54" t="s">
        <v>7</v>
      </c>
      <c r="K21" s="54" t="s">
        <v>9</v>
      </c>
      <c r="L21" s="54" t="s">
        <v>10</v>
      </c>
      <c r="Y21" s="54">
        <f>(Y22-Y20)/4+Y20</f>
        <v>101.25</v>
      </c>
      <c r="Z21" s="54">
        <v>120</v>
      </c>
      <c r="AA21" s="54">
        <v>630</v>
      </c>
      <c r="AB21" s="54">
        <v>800</v>
      </c>
      <c r="AC21" s="54">
        <v>250</v>
      </c>
      <c r="AE21" s="54">
        <f t="shared" si="6"/>
        <v>315</v>
      </c>
    </row>
    <row r="22" spans="2:31" x14ac:dyDescent="0.25">
      <c r="B22" s="54">
        <v>30</v>
      </c>
      <c r="C22" s="54">
        <v>0.83</v>
      </c>
      <c r="D22" s="54">
        <f t="shared" si="0"/>
        <v>61.02</v>
      </c>
      <c r="E22" s="54">
        <f t="shared" si="3"/>
        <v>61</v>
      </c>
      <c r="F22" s="54">
        <v>90</v>
      </c>
      <c r="G22" s="54">
        <f t="shared" si="1"/>
        <v>25</v>
      </c>
      <c r="H22" s="54">
        <f t="shared" si="4"/>
        <v>1</v>
      </c>
      <c r="J22" s="54">
        <v>-273</v>
      </c>
      <c r="K22" s="54">
        <v>130</v>
      </c>
      <c r="L22" s="54">
        <v>130</v>
      </c>
      <c r="Y22" s="54">
        <v>120</v>
      </c>
      <c r="Z22" s="54">
        <v>120</v>
      </c>
      <c r="AA22" s="54">
        <v>800</v>
      </c>
      <c r="AB22" s="54">
        <v>1000</v>
      </c>
      <c r="AC22" s="54">
        <v>315</v>
      </c>
      <c r="AE22" s="54">
        <f t="shared" si="6"/>
        <v>400</v>
      </c>
    </row>
    <row r="23" spans="2:31" x14ac:dyDescent="0.25">
      <c r="B23" s="54">
        <v>37</v>
      </c>
      <c r="C23" s="54">
        <v>0.84</v>
      </c>
      <c r="D23" s="54">
        <f t="shared" si="0"/>
        <v>74.36</v>
      </c>
      <c r="E23" s="54">
        <f t="shared" si="3"/>
        <v>74</v>
      </c>
      <c r="F23" s="54">
        <v>90</v>
      </c>
      <c r="G23" s="54">
        <f t="shared" si="1"/>
        <v>25</v>
      </c>
      <c r="H23" s="54">
        <f t="shared" si="4"/>
        <v>1</v>
      </c>
      <c r="J23" s="54">
        <v>0</v>
      </c>
      <c r="K23" s="54">
        <v>125</v>
      </c>
      <c r="L23" s="54">
        <v>125</v>
      </c>
      <c r="P23" s="92"/>
      <c r="Q23" s="92"/>
      <c r="R23" s="92"/>
      <c r="S23" s="92"/>
      <c r="Y23" s="54">
        <f>(Y24-Y22)/4+Y22</f>
        <v>127.5</v>
      </c>
      <c r="Z23" s="54">
        <v>150</v>
      </c>
      <c r="AA23" s="54">
        <v>1000</v>
      </c>
      <c r="AB23" s="54">
        <v>1250</v>
      </c>
      <c r="AC23" s="54">
        <v>400</v>
      </c>
      <c r="AE23" s="54">
        <f t="shared" si="6"/>
        <v>500</v>
      </c>
    </row>
    <row r="24" spans="2:31" x14ac:dyDescent="0.25">
      <c r="B24" s="54">
        <v>45</v>
      </c>
      <c r="C24" s="54">
        <v>0.84</v>
      </c>
      <c r="D24" s="54">
        <f t="shared" si="0"/>
        <v>89.44</v>
      </c>
      <c r="E24" s="54">
        <f t="shared" si="3"/>
        <v>89</v>
      </c>
      <c r="F24" s="54">
        <v>91</v>
      </c>
      <c r="G24" s="54">
        <f t="shared" si="1"/>
        <v>35</v>
      </c>
      <c r="H24" s="54">
        <f t="shared" si="4"/>
        <v>1</v>
      </c>
      <c r="J24" s="54">
        <v>5</v>
      </c>
      <c r="K24" s="54">
        <v>120</v>
      </c>
      <c r="L24" s="54">
        <v>120</v>
      </c>
      <c r="P24" s="93"/>
      <c r="Q24" s="94"/>
      <c r="R24" s="94"/>
      <c r="S24" s="94"/>
      <c r="Y24" s="54">
        <v>150</v>
      </c>
      <c r="Z24" s="54">
        <v>150</v>
      </c>
      <c r="AA24" s="54">
        <v>1250</v>
      </c>
      <c r="AB24" s="54">
        <v>1600</v>
      </c>
      <c r="AC24" s="54">
        <v>500</v>
      </c>
      <c r="AE24" s="54">
        <f t="shared" si="6"/>
        <v>630</v>
      </c>
    </row>
    <row r="25" spans="2:31" x14ac:dyDescent="0.25">
      <c r="B25" s="54">
        <v>55</v>
      </c>
      <c r="C25" s="54">
        <v>0.86</v>
      </c>
      <c r="D25" s="54">
        <f t="shared" si="0"/>
        <v>106.78</v>
      </c>
      <c r="E25" s="54">
        <f t="shared" si="3"/>
        <v>107</v>
      </c>
      <c r="F25" s="54">
        <v>91</v>
      </c>
      <c r="G25" s="54">
        <f t="shared" si="1"/>
        <v>50</v>
      </c>
      <c r="H25" s="54">
        <f t="shared" si="4"/>
        <v>1</v>
      </c>
      <c r="J25" s="54">
        <v>10</v>
      </c>
      <c r="K25" s="54">
        <v>115</v>
      </c>
      <c r="L25" s="54">
        <v>115</v>
      </c>
      <c r="P25" s="93"/>
      <c r="Q25" s="94"/>
      <c r="R25" s="94"/>
      <c r="S25" s="94"/>
      <c r="Y25" s="54">
        <f>(Y26-Y24)/4+Y24</f>
        <v>158.75</v>
      </c>
      <c r="Z25" s="54">
        <v>185</v>
      </c>
      <c r="AC25" s="54">
        <v>630</v>
      </c>
      <c r="AE25" s="54">
        <f t="shared" si="6"/>
        <v>800</v>
      </c>
    </row>
    <row r="26" spans="2:31" x14ac:dyDescent="0.25">
      <c r="B26" s="54">
        <v>75</v>
      </c>
      <c r="C26" s="54">
        <v>0.86</v>
      </c>
      <c r="D26" s="54">
        <f t="shared" si="0"/>
        <v>145.61000000000001</v>
      </c>
      <c r="E26" s="54">
        <f t="shared" si="3"/>
        <v>146</v>
      </c>
      <c r="F26" s="54">
        <v>91</v>
      </c>
      <c r="G26" s="54">
        <f t="shared" si="1"/>
        <v>70</v>
      </c>
      <c r="H26" s="54">
        <f t="shared" si="4"/>
        <v>1</v>
      </c>
      <c r="J26" s="54">
        <v>15</v>
      </c>
      <c r="K26" s="54">
        <v>110</v>
      </c>
      <c r="L26" s="54">
        <v>112</v>
      </c>
      <c r="O26" s="54">
        <v>0.5</v>
      </c>
      <c r="P26" s="58"/>
      <c r="Q26" s="59">
        <v>81.900000000000006</v>
      </c>
      <c r="R26" s="59">
        <v>0.23</v>
      </c>
      <c r="S26" s="59">
        <f t="shared" ref="S26:S44" si="7">SQRT(Q26^2+R26^2)</f>
        <v>81.900322954186208</v>
      </c>
      <c r="Y26" s="54">
        <v>185</v>
      </c>
      <c r="Z26" s="54">
        <v>185</v>
      </c>
      <c r="AC26" s="54">
        <v>800</v>
      </c>
      <c r="AE26" s="54">
        <f t="shared" si="6"/>
        <v>1000</v>
      </c>
    </row>
    <row r="27" spans="2:31" x14ac:dyDescent="0.25">
      <c r="B27" s="54">
        <v>90</v>
      </c>
      <c r="C27" s="54">
        <v>0.86</v>
      </c>
      <c r="D27" s="54">
        <f t="shared" si="0"/>
        <v>172.83</v>
      </c>
      <c r="E27" s="54">
        <f t="shared" si="3"/>
        <v>173</v>
      </c>
      <c r="F27" s="54">
        <v>92</v>
      </c>
      <c r="G27" s="54">
        <f t="shared" si="1"/>
        <v>95</v>
      </c>
      <c r="H27" s="54">
        <f t="shared" si="4"/>
        <v>1</v>
      </c>
      <c r="J27" s="54">
        <v>20</v>
      </c>
      <c r="K27" s="54">
        <v>105</v>
      </c>
      <c r="L27" s="54">
        <v>108</v>
      </c>
      <c r="O27" s="54">
        <v>0.75</v>
      </c>
      <c r="P27" s="58"/>
      <c r="Q27" s="59">
        <v>55.74</v>
      </c>
      <c r="R27" s="59">
        <v>0.23</v>
      </c>
      <c r="S27" s="59">
        <f t="shared" si="7"/>
        <v>55.740474522558564</v>
      </c>
      <c r="Y27" s="54">
        <f>(Y28-Y26)/4+Y26</f>
        <v>198.75</v>
      </c>
      <c r="Z27" s="54">
        <v>240</v>
      </c>
      <c r="AC27" s="54">
        <v>1000</v>
      </c>
      <c r="AE27" s="54">
        <f t="shared" si="6"/>
        <v>1250</v>
      </c>
    </row>
    <row r="28" spans="2:31" x14ac:dyDescent="0.25">
      <c r="B28" s="54">
        <v>110</v>
      </c>
      <c r="C28" s="54">
        <v>0.86</v>
      </c>
      <c r="D28" s="54">
        <f t="shared" si="0"/>
        <v>211.23</v>
      </c>
      <c r="E28" s="54">
        <f t="shared" si="3"/>
        <v>211</v>
      </c>
      <c r="F28" s="54">
        <v>92</v>
      </c>
      <c r="G28" s="54">
        <f t="shared" si="1"/>
        <v>120</v>
      </c>
      <c r="H28" s="54">
        <f t="shared" si="4"/>
        <v>1</v>
      </c>
      <c r="J28" s="54">
        <v>25</v>
      </c>
      <c r="K28" s="54">
        <v>100</v>
      </c>
      <c r="L28" s="54">
        <v>104</v>
      </c>
      <c r="O28" s="54">
        <v>1</v>
      </c>
      <c r="P28" s="58"/>
      <c r="Q28" s="59">
        <v>41.18</v>
      </c>
      <c r="R28" s="59">
        <v>0.23</v>
      </c>
      <c r="S28" s="59">
        <f t="shared" si="7"/>
        <v>41.180642297079338</v>
      </c>
      <c r="X28" s="60"/>
      <c r="Y28" s="54">
        <v>240</v>
      </c>
      <c r="Z28" s="54">
        <v>240</v>
      </c>
      <c r="AC28" s="54">
        <v>1250</v>
      </c>
      <c r="AE28" s="54">
        <f t="shared" si="6"/>
        <v>1600</v>
      </c>
    </row>
    <row r="29" spans="2:31" x14ac:dyDescent="0.25">
      <c r="B29" s="54">
        <v>132</v>
      </c>
      <c r="C29" s="54">
        <v>0.87</v>
      </c>
      <c r="D29" s="54">
        <f t="shared" si="0"/>
        <v>250.57</v>
      </c>
      <c r="E29" s="54">
        <f t="shared" si="3"/>
        <v>251</v>
      </c>
      <c r="F29" s="54">
        <v>92</v>
      </c>
      <c r="G29" s="54">
        <f t="shared" si="1"/>
        <v>150</v>
      </c>
      <c r="H29" s="54">
        <f t="shared" si="4"/>
        <v>1</v>
      </c>
      <c r="J29" s="54">
        <v>30</v>
      </c>
      <c r="K29" s="54">
        <v>94</v>
      </c>
      <c r="L29" s="54">
        <v>100</v>
      </c>
      <c r="O29" s="54">
        <v>1.5</v>
      </c>
      <c r="P29" s="58"/>
      <c r="Q29" s="59">
        <v>27.53</v>
      </c>
      <c r="R29" s="59">
        <v>0.23</v>
      </c>
      <c r="S29" s="59">
        <f t="shared" si="7"/>
        <v>27.530960753304633</v>
      </c>
      <c r="T29" s="54">
        <v>14.8</v>
      </c>
      <c r="U29" s="54">
        <v>0.11799999999999999</v>
      </c>
      <c r="V29" s="54">
        <v>0.16800000000000001</v>
      </c>
      <c r="W29" s="54">
        <f t="shared" ref="W29:W49" si="8">T29*N$11+U29*N$16</f>
        <v>12.203538895460319</v>
      </c>
      <c r="X29" s="54">
        <f t="shared" ref="X29:X49" si="9">1000/56/O29</f>
        <v>11.904761904761905</v>
      </c>
      <c r="Y29" s="54">
        <f>(Y30-Y28)/4+Y28</f>
        <v>255</v>
      </c>
      <c r="Z29" s="54">
        <v>300</v>
      </c>
      <c r="AC29" s="54">
        <v>1600</v>
      </c>
      <c r="AE29" s="54">
        <f t="shared" si="6"/>
        <v>2000</v>
      </c>
    </row>
    <row r="30" spans="2:31" x14ac:dyDescent="0.25">
      <c r="B30" s="54">
        <v>160</v>
      </c>
      <c r="C30" s="54">
        <v>0.87</v>
      </c>
      <c r="D30" s="54">
        <f t="shared" si="0"/>
        <v>300.45</v>
      </c>
      <c r="E30" s="54">
        <f t="shared" si="3"/>
        <v>300</v>
      </c>
      <c r="F30" s="54">
        <v>93</v>
      </c>
      <c r="G30" s="54">
        <f t="shared" si="1"/>
        <v>185</v>
      </c>
      <c r="H30" s="54">
        <f t="shared" si="4"/>
        <v>1</v>
      </c>
      <c r="J30" s="54">
        <v>35</v>
      </c>
      <c r="K30" s="54">
        <v>88</v>
      </c>
      <c r="L30" s="54">
        <v>96</v>
      </c>
      <c r="O30" s="54">
        <v>2.5</v>
      </c>
      <c r="P30" s="58"/>
      <c r="Q30" s="59">
        <v>16.86</v>
      </c>
      <c r="R30" s="59">
        <v>0.22</v>
      </c>
      <c r="S30" s="59">
        <f t="shared" si="7"/>
        <v>16.861435288847744</v>
      </c>
      <c r="T30" s="54">
        <v>8.91</v>
      </c>
      <c r="U30" s="54">
        <v>0.109</v>
      </c>
      <c r="V30" s="54">
        <v>0.156</v>
      </c>
      <c r="W30" s="54">
        <f t="shared" si="8"/>
        <v>7.368587623772668</v>
      </c>
      <c r="X30" s="54">
        <f t="shared" si="9"/>
        <v>7.1428571428571432</v>
      </c>
      <c r="Y30" s="54">
        <v>300</v>
      </c>
      <c r="Z30" s="54">
        <v>300</v>
      </c>
      <c r="AC30" s="54">
        <v>2000</v>
      </c>
      <c r="AE30" s="54">
        <f t="shared" si="6"/>
        <v>2500</v>
      </c>
    </row>
    <row r="31" spans="2:31" x14ac:dyDescent="0.25">
      <c r="B31" s="54">
        <v>200</v>
      </c>
      <c r="C31" s="54">
        <v>0.88</v>
      </c>
      <c r="D31" s="54">
        <f t="shared" si="0"/>
        <v>371.3</v>
      </c>
      <c r="E31" s="54">
        <f t="shared" si="3"/>
        <v>371</v>
      </c>
      <c r="F31" s="54">
        <v>93</v>
      </c>
      <c r="G31" s="54">
        <f t="shared" si="1"/>
        <v>240</v>
      </c>
      <c r="H31" s="54">
        <f t="shared" si="4"/>
        <v>1</v>
      </c>
      <c r="J31" s="54">
        <v>40</v>
      </c>
      <c r="K31" s="54">
        <v>82</v>
      </c>
      <c r="L31" s="54">
        <v>91</v>
      </c>
      <c r="O31" s="54">
        <v>4</v>
      </c>
      <c r="P31" s="58"/>
      <c r="Q31" s="59">
        <v>10.49</v>
      </c>
      <c r="R31" s="59">
        <v>0.21</v>
      </c>
      <c r="S31" s="59">
        <f t="shared" si="7"/>
        <v>10.492101791347624</v>
      </c>
      <c r="T31" s="54">
        <v>5.57</v>
      </c>
      <c r="U31" s="54">
        <v>0.10100000000000001</v>
      </c>
      <c r="V31" s="54">
        <v>0.14299999999999999</v>
      </c>
      <c r="W31" s="54">
        <f t="shared" si="8"/>
        <v>4.6252087156058668</v>
      </c>
      <c r="X31" s="54">
        <f t="shared" si="9"/>
        <v>4.4642857142857144</v>
      </c>
      <c r="Y31" s="54">
        <v>325</v>
      </c>
      <c r="Z31" s="54">
        <v>400</v>
      </c>
      <c r="AC31" s="54">
        <v>2500</v>
      </c>
      <c r="AE31" s="54">
        <f t="shared" si="6"/>
        <v>3150</v>
      </c>
    </row>
    <row r="32" spans="2:31" x14ac:dyDescent="0.25">
      <c r="B32" s="54">
        <v>220</v>
      </c>
      <c r="C32" s="54">
        <v>0.88</v>
      </c>
      <c r="D32" s="54">
        <f t="shared" si="0"/>
        <v>408.43</v>
      </c>
      <c r="E32" s="54">
        <f t="shared" si="3"/>
        <v>408</v>
      </c>
      <c r="F32" s="54">
        <v>93</v>
      </c>
      <c r="G32" s="54">
        <f t="shared" si="1"/>
        <v>300</v>
      </c>
      <c r="H32" s="54">
        <f t="shared" si="4"/>
        <v>1</v>
      </c>
      <c r="J32" s="54">
        <v>45</v>
      </c>
      <c r="K32" s="54">
        <v>75</v>
      </c>
      <c r="L32" s="54">
        <v>87</v>
      </c>
      <c r="O32" s="54">
        <v>6</v>
      </c>
      <c r="P32" s="58"/>
      <c r="Q32" s="59">
        <v>7.01</v>
      </c>
      <c r="R32" s="59">
        <v>0.2</v>
      </c>
      <c r="S32" s="59">
        <f t="shared" si="7"/>
        <v>7.0128524866847153</v>
      </c>
      <c r="T32" s="54">
        <v>3.71</v>
      </c>
      <c r="U32" s="54">
        <v>9.5500000000000002E-2</v>
      </c>
      <c r="V32" s="54">
        <v>0.13500000000000001</v>
      </c>
      <c r="W32" s="54">
        <f t="shared" si="8"/>
        <v>3.0968607162411907</v>
      </c>
      <c r="X32" s="54">
        <f t="shared" si="9"/>
        <v>2.9761904761904763</v>
      </c>
      <c r="AC32" s="54">
        <v>3150</v>
      </c>
      <c r="AE32" s="54">
        <f t="shared" si="6"/>
        <v>4000</v>
      </c>
    </row>
    <row r="33" spans="2:31" x14ac:dyDescent="0.25">
      <c r="B33" s="54">
        <v>250</v>
      </c>
      <c r="C33" s="54">
        <v>0.88</v>
      </c>
      <c r="D33" s="54">
        <f t="shared" si="0"/>
        <v>464.12</v>
      </c>
      <c r="E33" s="54">
        <f t="shared" si="3"/>
        <v>464</v>
      </c>
      <c r="F33" s="54">
        <v>93</v>
      </c>
      <c r="G33" s="54">
        <f t="shared" si="1"/>
        <v>300</v>
      </c>
      <c r="H33" s="54">
        <f t="shared" si="4"/>
        <v>1</v>
      </c>
      <c r="J33" s="54">
        <v>50</v>
      </c>
      <c r="K33" s="54">
        <v>67</v>
      </c>
      <c r="L33" s="54">
        <v>82</v>
      </c>
      <c r="O33" s="54">
        <v>10</v>
      </c>
      <c r="P33" s="58"/>
      <c r="Q33" s="59">
        <v>4.16</v>
      </c>
      <c r="R33" s="59">
        <v>0.19</v>
      </c>
      <c r="S33" s="59">
        <f t="shared" si="7"/>
        <v>4.1643366818738379</v>
      </c>
      <c r="T33" s="54">
        <v>2.2400000000000002</v>
      </c>
      <c r="U33" s="54">
        <v>8.6099999999999996E-2</v>
      </c>
      <c r="V33" s="54">
        <v>0.11899999999999999</v>
      </c>
      <c r="W33" s="54">
        <f t="shared" si="8"/>
        <v>1.8860804991451994</v>
      </c>
      <c r="X33" s="54">
        <f t="shared" si="9"/>
        <v>1.7857142857142858</v>
      </c>
      <c r="AC33" s="54">
        <v>4000</v>
      </c>
      <c r="AE33" s="54">
        <v>5000</v>
      </c>
    </row>
    <row r="34" spans="2:31" x14ac:dyDescent="0.25">
      <c r="B34" s="54">
        <v>280</v>
      </c>
      <c r="C34" s="54">
        <v>0.89</v>
      </c>
      <c r="D34" s="54">
        <f t="shared" si="0"/>
        <v>513.97</v>
      </c>
      <c r="E34" s="54">
        <f t="shared" si="3"/>
        <v>514</v>
      </c>
      <c r="F34" s="54">
        <v>93</v>
      </c>
      <c r="G34" s="54">
        <f t="shared" si="1"/>
        <v>150</v>
      </c>
      <c r="H34" s="54">
        <f t="shared" si="4"/>
        <v>2</v>
      </c>
      <c r="J34" s="54">
        <v>55</v>
      </c>
      <c r="K34" s="54">
        <v>58</v>
      </c>
      <c r="L34" s="54">
        <v>76</v>
      </c>
      <c r="O34" s="54">
        <v>16</v>
      </c>
      <c r="P34" s="58"/>
      <c r="Q34" s="59">
        <v>2.62</v>
      </c>
      <c r="R34" s="59">
        <v>0.18</v>
      </c>
      <c r="S34" s="59">
        <f t="shared" si="7"/>
        <v>2.6261759270848555</v>
      </c>
      <c r="T34" s="54">
        <v>1.41</v>
      </c>
      <c r="U34" s="54">
        <v>8.1699999999999995E-2</v>
      </c>
      <c r="V34" s="54">
        <v>0.112</v>
      </c>
      <c r="W34" s="54">
        <f t="shared" si="8"/>
        <v>1.2029620996534587</v>
      </c>
      <c r="X34" s="54">
        <f t="shared" si="9"/>
        <v>1.1160714285714286</v>
      </c>
    </row>
    <row r="35" spans="2:31" x14ac:dyDescent="0.25">
      <c r="B35" s="54">
        <v>315</v>
      </c>
      <c r="C35" s="54">
        <v>0.89</v>
      </c>
      <c r="D35" s="54">
        <f t="shared" si="0"/>
        <v>578.22</v>
      </c>
      <c r="E35" s="54">
        <f t="shared" si="3"/>
        <v>578</v>
      </c>
      <c r="F35" s="54">
        <v>93</v>
      </c>
      <c r="G35" s="54">
        <f t="shared" si="1"/>
        <v>185</v>
      </c>
      <c r="H35" s="54">
        <f t="shared" si="4"/>
        <v>2</v>
      </c>
      <c r="J35" s="54">
        <v>60</v>
      </c>
      <c r="K35" s="54">
        <v>47</v>
      </c>
      <c r="L35" s="54">
        <v>71</v>
      </c>
      <c r="O35" s="54">
        <v>25</v>
      </c>
      <c r="P35" s="58"/>
      <c r="Q35" s="59">
        <v>2.1349999999999998</v>
      </c>
      <c r="R35" s="59">
        <v>0.182</v>
      </c>
      <c r="S35" s="59">
        <f t="shared" si="7"/>
        <v>2.1427433350730554</v>
      </c>
      <c r="T35" s="54">
        <v>0.88900000000000001</v>
      </c>
      <c r="U35" s="54">
        <v>8.1299999999999997E-2</v>
      </c>
      <c r="V35" s="54">
        <v>0.106</v>
      </c>
      <c r="W35" s="54">
        <f t="shared" si="8"/>
        <v>0.77551315424511857</v>
      </c>
      <c r="X35" s="54">
        <f t="shared" si="9"/>
        <v>0.7142857142857143</v>
      </c>
    </row>
    <row r="36" spans="2:31" x14ac:dyDescent="0.25">
      <c r="B36" s="54">
        <v>355</v>
      </c>
      <c r="C36" s="54">
        <v>0.89</v>
      </c>
      <c r="D36" s="54">
        <f t="shared" si="0"/>
        <v>637.92999999999995</v>
      </c>
      <c r="E36" s="54">
        <f t="shared" si="3"/>
        <v>638</v>
      </c>
      <c r="F36" s="54">
        <v>95</v>
      </c>
      <c r="G36" s="54">
        <f t="shared" si="1"/>
        <v>185</v>
      </c>
      <c r="H36" s="54">
        <f t="shared" si="4"/>
        <v>2</v>
      </c>
      <c r="J36" s="54">
        <v>65</v>
      </c>
      <c r="K36" s="54">
        <v>33</v>
      </c>
      <c r="L36" s="54">
        <v>65</v>
      </c>
      <c r="O36" s="54">
        <v>35</v>
      </c>
      <c r="P36" s="58"/>
      <c r="Q36" s="59">
        <v>1.9039999999999999</v>
      </c>
      <c r="R36" s="59">
        <v>0.183</v>
      </c>
      <c r="S36" s="59">
        <f t="shared" si="7"/>
        <v>1.9127741633554127</v>
      </c>
      <c r="T36" s="54">
        <v>0.64100000000000001</v>
      </c>
      <c r="U36" s="54">
        <v>7.8299999999999995E-2</v>
      </c>
      <c r="V36" s="54">
        <v>0.10100000000000001</v>
      </c>
      <c r="W36" s="54">
        <f t="shared" si="8"/>
        <v>0.57043606368256805</v>
      </c>
      <c r="X36" s="54">
        <f t="shared" si="9"/>
        <v>0.51020408163265307</v>
      </c>
    </row>
    <row r="37" spans="2:31" x14ac:dyDescent="0.25">
      <c r="B37" s="54">
        <v>400</v>
      </c>
      <c r="C37" s="54">
        <v>0.9</v>
      </c>
      <c r="D37" s="54">
        <f t="shared" si="0"/>
        <v>703.4</v>
      </c>
      <c r="E37" s="54">
        <f t="shared" si="3"/>
        <v>703</v>
      </c>
      <c r="F37" s="54">
        <v>96</v>
      </c>
      <c r="G37" s="54">
        <f t="shared" si="1"/>
        <v>240</v>
      </c>
      <c r="H37" s="54">
        <f t="shared" si="4"/>
        <v>2</v>
      </c>
      <c r="J37" s="54">
        <v>70.004999999999995</v>
      </c>
      <c r="K37" s="54" t="s">
        <v>8</v>
      </c>
      <c r="L37" s="54">
        <v>58</v>
      </c>
      <c r="O37" s="54">
        <v>50</v>
      </c>
      <c r="P37" s="58"/>
      <c r="Q37" s="59">
        <v>1.2669999999999999</v>
      </c>
      <c r="R37" s="59">
        <v>0.17899999999999999</v>
      </c>
      <c r="S37" s="59">
        <f t="shared" si="7"/>
        <v>1.2795819629863496</v>
      </c>
      <c r="T37" s="54">
        <v>0.47299999999999998</v>
      </c>
      <c r="U37" s="54">
        <v>7.7899999999999997E-2</v>
      </c>
      <c r="V37" s="54">
        <v>0.10100000000000001</v>
      </c>
      <c r="W37" s="54">
        <f t="shared" si="8"/>
        <v>0.43244711827422805</v>
      </c>
      <c r="X37" s="54">
        <f t="shared" si="9"/>
        <v>0.35714285714285715</v>
      </c>
    </row>
    <row r="38" spans="2:31" x14ac:dyDescent="0.25">
      <c r="B38" s="54">
        <v>450</v>
      </c>
      <c r="C38" s="54">
        <v>0.9</v>
      </c>
      <c r="D38" s="54">
        <f t="shared" si="0"/>
        <v>791.32</v>
      </c>
      <c r="E38" s="54">
        <f t="shared" si="3"/>
        <v>791</v>
      </c>
      <c r="F38" s="54">
        <v>96</v>
      </c>
      <c r="G38" s="54">
        <f t="shared" si="1"/>
        <v>240</v>
      </c>
      <c r="H38" s="54">
        <f t="shared" si="4"/>
        <v>2</v>
      </c>
      <c r="J38" s="54">
        <v>75</v>
      </c>
      <c r="L38" s="54">
        <v>50</v>
      </c>
      <c r="O38" s="54">
        <v>70</v>
      </c>
      <c r="P38" s="58"/>
      <c r="Q38" s="61">
        <v>0.90100000000000002</v>
      </c>
      <c r="R38" s="59">
        <v>0.17399999999999999</v>
      </c>
      <c r="S38" s="59">
        <f t="shared" si="7"/>
        <v>0.91764753582189718</v>
      </c>
      <c r="T38" s="54">
        <v>0.32800000000000001</v>
      </c>
      <c r="U38" s="54">
        <v>7.51E-2</v>
      </c>
      <c r="V38" s="54">
        <v>9.6500000000000002E-2</v>
      </c>
      <c r="W38" s="54">
        <f t="shared" si="8"/>
        <v>0.31194450041584754</v>
      </c>
      <c r="X38" s="54">
        <f t="shared" si="9"/>
        <v>0.25510204081632654</v>
      </c>
    </row>
    <row r="39" spans="2:31" x14ac:dyDescent="0.25">
      <c r="B39" s="54">
        <v>500</v>
      </c>
      <c r="C39" s="54">
        <v>0.91</v>
      </c>
      <c r="D39" s="54">
        <f t="shared" si="0"/>
        <v>869.59</v>
      </c>
      <c r="E39" s="54">
        <f t="shared" si="3"/>
        <v>870</v>
      </c>
      <c r="F39" s="54">
        <v>96</v>
      </c>
      <c r="G39" s="54">
        <f t="shared" si="1"/>
        <v>300</v>
      </c>
      <c r="H39" s="54">
        <f t="shared" si="4"/>
        <v>2</v>
      </c>
      <c r="J39" s="54">
        <v>80</v>
      </c>
      <c r="L39" s="54">
        <v>41</v>
      </c>
      <c r="O39" s="54">
        <v>95</v>
      </c>
      <c r="P39" s="58"/>
      <c r="Q39" s="59">
        <v>0.66</v>
      </c>
      <c r="R39" s="59">
        <v>0.16800000000000001</v>
      </c>
      <c r="S39" s="59">
        <f t="shared" si="7"/>
        <v>0.6810462539358102</v>
      </c>
      <c r="T39" s="54">
        <v>0.23599999999999999</v>
      </c>
      <c r="U39" s="54">
        <v>7.6200000000000004E-2</v>
      </c>
      <c r="V39" s="54">
        <v>9.7500000000000003E-2</v>
      </c>
      <c r="W39" s="54">
        <f t="shared" si="8"/>
        <v>0.23713410028878273</v>
      </c>
      <c r="X39" s="54">
        <f t="shared" si="9"/>
        <v>0.18796992481203009</v>
      </c>
    </row>
    <row r="40" spans="2:31" x14ac:dyDescent="0.25">
      <c r="B40" s="54">
        <v>560</v>
      </c>
      <c r="C40" s="54">
        <v>0.91</v>
      </c>
      <c r="D40" s="54">
        <f t="shared" si="0"/>
        <v>973.94</v>
      </c>
      <c r="E40" s="54">
        <f t="shared" si="3"/>
        <v>974</v>
      </c>
      <c r="F40" s="54">
        <v>96</v>
      </c>
      <c r="G40" s="54">
        <f t="shared" si="1"/>
        <v>300</v>
      </c>
      <c r="H40" s="54">
        <f t="shared" si="4"/>
        <v>2</v>
      </c>
      <c r="J40" s="54">
        <v>80.004999999999995</v>
      </c>
      <c r="L40" s="54" t="s">
        <v>8</v>
      </c>
      <c r="O40" s="54">
        <v>120</v>
      </c>
      <c r="P40" s="58"/>
      <c r="Q40" s="59">
        <v>0.47899999999999998</v>
      </c>
      <c r="R40" s="59">
        <v>0.16</v>
      </c>
      <c r="S40" s="59">
        <f t="shared" si="7"/>
        <v>0.5050158413356951</v>
      </c>
      <c r="T40" s="54">
        <v>0.188</v>
      </c>
      <c r="U40" s="54">
        <v>7.3999999999999996E-2</v>
      </c>
      <c r="V40" s="54">
        <v>9.3899999999999997E-2</v>
      </c>
      <c r="W40" s="54">
        <f t="shared" si="8"/>
        <v>0.19651490054291237</v>
      </c>
      <c r="X40" s="54">
        <f t="shared" si="9"/>
        <v>0.14880952380952381</v>
      </c>
    </row>
    <row r="41" spans="2:31" x14ac:dyDescent="0.25">
      <c r="B41" s="54">
        <v>630</v>
      </c>
      <c r="C41" s="54">
        <v>0.91</v>
      </c>
      <c r="D41" s="54">
        <f t="shared" si="0"/>
        <v>1095.68</v>
      </c>
      <c r="E41" s="54">
        <f t="shared" si="3"/>
        <v>1096</v>
      </c>
      <c r="F41" s="54">
        <v>96</v>
      </c>
      <c r="G41" s="54">
        <f>IF(D41&lt;$L$20,LOOKUP(D41,$L$1:$L$20,$K$1:$K$20),IF(ROUNDUP(D41/$L$16,0)*300&lt;=ROUNDUP(D41/$L$15,0)*240,300,240))</f>
        <v>240</v>
      </c>
      <c r="H41" s="54">
        <f>IF(D41&lt;$L$20,LOOKUP(D41,$L$1:$L$20,$J$1:$J$20),IF(ROUNDUP(D41/$L$16,0)*300&lt;=ROUNDUP(D41/$L$15,0)*240,ROUNDUP(D41/$L$16,0),ROUNDUP(D41/$L$15,0)))</f>
        <v>3</v>
      </c>
      <c r="O41" s="54">
        <v>150</v>
      </c>
      <c r="P41" s="58"/>
      <c r="Q41" s="59">
        <v>0.44600000000000001</v>
      </c>
      <c r="R41" s="59">
        <v>0.16700000000000001</v>
      </c>
      <c r="S41" s="59">
        <f t="shared" si="7"/>
        <v>0.47624048546926373</v>
      </c>
      <c r="T41" s="54">
        <v>0.153</v>
      </c>
      <c r="U41" s="54">
        <v>7.4499999999999997E-2</v>
      </c>
      <c r="V41" s="54">
        <v>9.2799999999999994E-2</v>
      </c>
      <c r="W41" s="54">
        <f t="shared" si="8"/>
        <v>0.16810108230333748</v>
      </c>
      <c r="X41" s="54">
        <f t="shared" si="9"/>
        <v>0.11904761904761905</v>
      </c>
    </row>
    <row r="42" spans="2:31" x14ac:dyDescent="0.25">
      <c r="B42" s="54">
        <v>710</v>
      </c>
      <c r="C42" s="54">
        <v>0.92</v>
      </c>
      <c r="D42" s="54">
        <f t="shared" si="0"/>
        <v>1221.3900000000001</v>
      </c>
      <c r="E42" s="54">
        <f t="shared" si="3"/>
        <v>1221</v>
      </c>
      <c r="F42" s="54">
        <v>96</v>
      </c>
      <c r="G42" s="54">
        <f t="shared" ref="G42:G80" si="10">IF(D42&lt;$L$20,LOOKUP(D42,$L$1:$L$20,$K$1:$K$20),IF(ROUNDUP(D42/$L$16,0)*300&lt;=ROUNDUP(D42/$L$15,0)*240,300,240))</f>
        <v>300</v>
      </c>
      <c r="H42" s="54">
        <f t="shared" si="4"/>
        <v>3</v>
      </c>
      <c r="O42" s="54">
        <v>185</v>
      </c>
      <c r="P42" s="58"/>
      <c r="Q42" s="59">
        <v>0.33300000000000002</v>
      </c>
      <c r="R42" s="59">
        <v>0.16300000000000001</v>
      </c>
      <c r="S42" s="59">
        <f t="shared" si="7"/>
        <v>0.37075328724098999</v>
      </c>
      <c r="T42" s="54">
        <v>0.123</v>
      </c>
      <c r="U42" s="54">
        <v>7.4200000000000002E-2</v>
      </c>
      <c r="V42" s="54">
        <v>9.0800000000000006E-2</v>
      </c>
      <c r="W42" s="54">
        <f t="shared" si="8"/>
        <v>0.14332937324708242</v>
      </c>
      <c r="X42" s="54">
        <f t="shared" si="9"/>
        <v>9.6525096525096526E-2</v>
      </c>
    </row>
    <row r="43" spans="2:31" x14ac:dyDescent="0.25">
      <c r="B43" s="54">
        <v>800</v>
      </c>
      <c r="C43" s="54">
        <v>0.92</v>
      </c>
      <c r="D43" s="54">
        <f t="shared" si="0"/>
        <v>1376.22</v>
      </c>
      <c r="E43" s="54">
        <f t="shared" si="3"/>
        <v>1376</v>
      </c>
      <c r="F43" s="54">
        <v>96</v>
      </c>
      <c r="G43" s="54">
        <f t="shared" si="10"/>
        <v>300</v>
      </c>
      <c r="H43" s="54">
        <f t="shared" si="4"/>
        <v>3</v>
      </c>
      <c r="O43" s="54">
        <v>240</v>
      </c>
      <c r="P43" s="58"/>
      <c r="Q43" s="59">
        <v>0.26</v>
      </c>
      <c r="R43" s="59">
        <v>0.16400000000000001</v>
      </c>
      <c r="S43" s="59">
        <f t="shared" si="7"/>
        <v>0.30740201690945362</v>
      </c>
      <c r="T43" s="54">
        <v>9.4299999999999995E-2</v>
      </c>
      <c r="U43" s="54">
        <v>7.5200000000000003E-2</v>
      </c>
      <c r="V43" s="54">
        <v>9.0200000000000002E-2</v>
      </c>
      <c r="W43" s="54">
        <f t="shared" si="8"/>
        <v>0.12036773676793258</v>
      </c>
      <c r="X43" s="54">
        <f t="shared" si="9"/>
        <v>7.4404761904761904E-2</v>
      </c>
    </row>
    <row r="44" spans="2:31" x14ac:dyDescent="0.25">
      <c r="B44" s="54">
        <v>900</v>
      </c>
      <c r="C44" s="54">
        <v>0.92</v>
      </c>
      <c r="D44" s="54">
        <f t="shared" si="0"/>
        <v>1548.24</v>
      </c>
      <c r="E44" s="54">
        <f t="shared" si="3"/>
        <v>1548</v>
      </c>
      <c r="F44" s="54">
        <v>96</v>
      </c>
      <c r="G44" s="54">
        <f t="shared" si="10"/>
        <v>240</v>
      </c>
      <c r="H44" s="54">
        <f t="shared" si="4"/>
        <v>4</v>
      </c>
      <c r="O44" s="54">
        <v>300</v>
      </c>
      <c r="P44" s="58"/>
      <c r="Q44" s="59">
        <v>0.20899999999999999</v>
      </c>
      <c r="R44" s="59">
        <v>0.16200000000000001</v>
      </c>
      <c r="S44" s="59">
        <f t="shared" si="7"/>
        <v>0.26443335644354704</v>
      </c>
      <c r="T44" s="54">
        <v>7.6100000000000001E-2</v>
      </c>
      <c r="U44" s="54">
        <v>7.4999999999999997E-2</v>
      </c>
      <c r="V44" s="54">
        <v>8.9499999999999996E-2</v>
      </c>
      <c r="W44" s="54">
        <f t="shared" si="8"/>
        <v>0.10532926406376256</v>
      </c>
      <c r="X44" s="54">
        <f t="shared" si="9"/>
        <v>5.9523809523809527E-2</v>
      </c>
    </row>
    <row r="45" spans="2:31" x14ac:dyDescent="0.25">
      <c r="D45" s="54">
        <v>1600</v>
      </c>
      <c r="G45" s="54">
        <f t="shared" si="10"/>
        <v>240</v>
      </c>
      <c r="H45" s="54">
        <f t="shared" si="4"/>
        <v>4</v>
      </c>
      <c r="O45" s="54">
        <v>400</v>
      </c>
      <c r="T45" s="54">
        <v>5.8999999999999997E-2</v>
      </c>
      <c r="U45" s="54">
        <v>8.5999999999999993E-2</v>
      </c>
      <c r="V45" s="54">
        <v>8.7999999999999995E-2</v>
      </c>
      <c r="W45" s="54">
        <f t="shared" si="8"/>
        <v>9.7603262793114404E-2</v>
      </c>
      <c r="X45" s="54">
        <f t="shared" si="9"/>
        <v>4.4642857142857144E-2</v>
      </c>
    </row>
    <row r="46" spans="2:31" x14ac:dyDescent="0.25">
      <c r="D46" s="54">
        <v>1700</v>
      </c>
      <c r="G46" s="54">
        <f t="shared" si="10"/>
        <v>300</v>
      </c>
      <c r="H46" s="54">
        <f t="shared" si="4"/>
        <v>4</v>
      </c>
      <c r="O46" s="54">
        <v>500</v>
      </c>
      <c r="T46" s="54">
        <v>4.5999999999999999E-2</v>
      </c>
      <c r="U46" s="54">
        <v>8.5999999999999993E-2</v>
      </c>
      <c r="V46" s="54">
        <v>8.6999999999999994E-2</v>
      </c>
      <c r="W46" s="54">
        <f t="shared" si="8"/>
        <v>8.6943262793114401E-2</v>
      </c>
      <c r="X46" s="54">
        <f t="shared" si="9"/>
        <v>3.5714285714285712E-2</v>
      </c>
    </row>
    <row r="47" spans="2:31" x14ac:dyDescent="0.25">
      <c r="D47" s="54">
        <v>1800</v>
      </c>
      <c r="G47" s="54">
        <f t="shared" si="10"/>
        <v>300</v>
      </c>
      <c r="H47" s="54">
        <f t="shared" si="4"/>
        <v>4</v>
      </c>
      <c r="O47" s="54">
        <v>630</v>
      </c>
      <c r="T47" s="54">
        <v>3.6999999999999998E-2</v>
      </c>
      <c r="U47" s="54">
        <v>8.5999999999999993E-2</v>
      </c>
      <c r="V47" s="54">
        <v>8.5999999999999993E-2</v>
      </c>
      <c r="W47" s="54">
        <f t="shared" si="8"/>
        <v>7.9563262793114403E-2</v>
      </c>
      <c r="X47" s="54">
        <f t="shared" si="9"/>
        <v>2.834467120181406E-2</v>
      </c>
    </row>
    <row r="48" spans="2:31" x14ac:dyDescent="0.25">
      <c r="D48" s="54">
        <v>1900</v>
      </c>
      <c r="G48" s="54">
        <f t="shared" si="10"/>
        <v>300</v>
      </c>
      <c r="H48" s="54">
        <f t="shared" si="4"/>
        <v>4</v>
      </c>
      <c r="O48" s="54">
        <v>800</v>
      </c>
      <c r="T48" s="54">
        <v>3.1E-2</v>
      </c>
      <c r="V48" s="54">
        <v>8.3000000000000004E-2</v>
      </c>
      <c r="W48" s="54">
        <f t="shared" si="8"/>
        <v>2.5419999999999998E-2</v>
      </c>
      <c r="X48" s="54">
        <f t="shared" si="9"/>
        <v>2.2321428571428572E-2</v>
      </c>
    </row>
    <row r="49" spans="4:28" x14ac:dyDescent="0.25">
      <c r="D49" s="54">
        <v>2000</v>
      </c>
      <c r="G49" s="54">
        <f t="shared" si="10"/>
        <v>240</v>
      </c>
      <c r="H49" s="54">
        <f t="shared" si="4"/>
        <v>5</v>
      </c>
      <c r="O49" s="54">
        <v>1000</v>
      </c>
      <c r="T49" s="54">
        <v>2.7E-2</v>
      </c>
      <c r="V49" s="54">
        <v>8.2000000000000003E-2</v>
      </c>
      <c r="W49" s="54">
        <f t="shared" si="8"/>
        <v>2.214E-2</v>
      </c>
      <c r="X49" s="54">
        <f t="shared" si="9"/>
        <v>1.7857142857142856E-2</v>
      </c>
    </row>
    <row r="50" spans="4:28" ht="23.25" x14ac:dyDescent="0.25">
      <c r="D50" s="54">
        <v>2100</v>
      </c>
      <c r="G50" s="54">
        <f t="shared" si="10"/>
        <v>240</v>
      </c>
      <c r="H50" s="54">
        <f t="shared" si="4"/>
        <v>6</v>
      </c>
      <c r="L50" s="62"/>
      <c r="M50" s="63"/>
      <c r="O50" s="62"/>
    </row>
    <row r="51" spans="4:28" x14ac:dyDescent="0.25">
      <c r="D51" s="54">
        <v>2200</v>
      </c>
      <c r="G51" s="54">
        <f t="shared" si="10"/>
        <v>240</v>
      </c>
      <c r="H51" s="54">
        <f t="shared" si="4"/>
        <v>6</v>
      </c>
      <c r="M51" s="56"/>
      <c r="N51" s="56">
        <f>'Cable Cal'!O10</f>
        <v>400</v>
      </c>
      <c r="O51" s="56" t="str">
        <f>CONCATENATE("/",M54,"/50Hz")</f>
        <v>/3PH/50Hz</v>
      </c>
      <c r="P51" s="56" t="s">
        <v>6</v>
      </c>
      <c r="Q51" s="56">
        <f>'Cable Cal'!W10</f>
        <v>400</v>
      </c>
      <c r="R51" s="56" t="s">
        <v>17</v>
      </c>
    </row>
    <row r="52" spans="4:28" x14ac:dyDescent="0.25">
      <c r="D52" s="54">
        <v>2300</v>
      </c>
      <c r="G52" s="54">
        <f t="shared" si="10"/>
        <v>240</v>
      </c>
      <c r="H52" s="54">
        <f t="shared" si="4"/>
        <v>6</v>
      </c>
      <c r="L52" s="64"/>
      <c r="N52" s="55"/>
      <c r="O52" s="55"/>
      <c r="P52" s="55"/>
      <c r="Q52" s="55"/>
      <c r="R52" s="55"/>
      <c r="S52" s="64"/>
      <c r="T52" s="57">
        <f>Q64</f>
        <v>0.84</v>
      </c>
      <c r="U52" s="57">
        <f>Q83/3^0.5</f>
        <v>49.057452373042501</v>
      </c>
      <c r="V52" s="57">
        <f>Q57</f>
        <v>2</v>
      </c>
    </row>
    <row r="53" spans="4:28" x14ac:dyDescent="0.25">
      <c r="D53" s="54">
        <v>2400</v>
      </c>
      <c r="G53" s="54">
        <f t="shared" si="10"/>
        <v>240</v>
      </c>
      <c r="H53" s="54">
        <f t="shared" si="4"/>
        <v>6</v>
      </c>
      <c r="L53" s="57"/>
      <c r="N53" s="55"/>
      <c r="O53" s="55"/>
      <c r="P53" s="55"/>
      <c r="Q53" s="55"/>
      <c r="R53" s="55"/>
      <c r="S53" s="57"/>
      <c r="U53" s="54">
        <f>U52*100/LOOKUP(T54,J22:J37,K22:K37)</f>
        <v>49.057452373042494</v>
      </c>
    </row>
    <row r="54" spans="4:28" x14ac:dyDescent="0.25">
      <c r="D54" s="54">
        <v>2500</v>
      </c>
      <c r="G54" s="54">
        <f t="shared" si="10"/>
        <v>240</v>
      </c>
      <c r="H54" s="54">
        <f t="shared" si="4"/>
        <v>7</v>
      </c>
      <c r="L54" s="57"/>
      <c r="M54" s="55" t="str">
        <f>'Cable Cal'!L10</f>
        <v>3PH</v>
      </c>
      <c r="N54" s="55"/>
      <c r="O54" s="55"/>
      <c r="P54" s="55"/>
      <c r="Q54" s="55"/>
      <c r="R54" s="55"/>
      <c r="S54" s="57"/>
      <c r="T54" s="54">
        <f>Q56</f>
        <v>25</v>
      </c>
      <c r="U54" s="54">
        <f>MAX(U53,U55)</f>
        <v>49.057452373042494</v>
      </c>
      <c r="V54" s="54">
        <f>IF(U54&lt;$L$20,LOOKUP(U54,$L$1:$L$20,$K$1:$K$20),IF(ROUNDUP(U54/$L$16,0)*300&lt;=ROUNDUP(U54/$L$15,0)*240,300,240))</f>
        <v>16</v>
      </c>
      <c r="W54" s="54">
        <f>IF(U54&lt;$L$20,LOOKUP(U54,$L$1:$L$20,$J$1:$J$20),IF(ROUNDUP(U54/$L$16,0)*300&lt;=ROUNDUP(U54/$L$15,0)*240,ROUNDUP(U54/$L$16,0),ROUNDUP(U54/$L$15,0)))</f>
        <v>1</v>
      </c>
      <c r="X54" s="57">
        <f>Q61</f>
        <v>120</v>
      </c>
      <c r="Y54" s="54">
        <f>ROUND((3^0.5*(U52/X57)*X54*(1000/56/W57)*T52)/(10*Q51),2)</f>
        <v>1.53</v>
      </c>
      <c r="AA54" s="54">
        <f>Y54/V52</f>
        <v>0.76500000000000001</v>
      </c>
    </row>
    <row r="55" spans="4:28" x14ac:dyDescent="0.25">
      <c r="D55" s="54">
        <v>2600</v>
      </c>
      <c r="G55" s="54">
        <f t="shared" si="10"/>
        <v>240</v>
      </c>
      <c r="H55" s="54">
        <f t="shared" si="4"/>
        <v>7</v>
      </c>
      <c r="L55" s="57"/>
      <c r="M55" s="55"/>
      <c r="N55" s="56"/>
      <c r="O55" s="56"/>
      <c r="P55" s="55"/>
      <c r="Q55" s="56"/>
      <c r="R55" s="56"/>
      <c r="S55" s="57"/>
      <c r="V55" s="54">
        <f>IF(U54&lt;$L$20,LOOKUP(U54,$L$1:$L$20,$K$1:$K$20),IF(ROUNDUP(U54/$L$16,0)*300&lt;=ROUNDUP(U54/$L$15,0)*240,300,240))*IF(U54&lt;$L$20,LOOKUP(U54,$L$1:$L$20,$J$1:$J$20),IF(ROUNDUP(U54/$L$16,0)*300&lt;=ROUNDUP(U54/$L$15,0)*240,ROUNDUP(U54/$L$16,0),ROUNDUP(U54/$L$15,0)))</f>
        <v>16</v>
      </c>
    </row>
    <row r="56" spans="4:28" x14ac:dyDescent="0.25">
      <c r="D56" s="54">
        <v>2700</v>
      </c>
      <c r="G56" s="54">
        <f t="shared" si="10"/>
        <v>240</v>
      </c>
      <c r="H56" s="54">
        <f t="shared" si="4"/>
        <v>7</v>
      </c>
      <c r="L56" s="57"/>
      <c r="M56" s="55"/>
      <c r="N56" s="55">
        <f>'Cable Cal'!L21</f>
        <v>25</v>
      </c>
      <c r="O56" s="55"/>
      <c r="P56" s="55"/>
      <c r="Q56" s="55">
        <f>'Cable Cal'!T21</f>
        <v>25</v>
      </c>
      <c r="R56" s="55"/>
      <c r="S56" s="57"/>
      <c r="T56" s="54" t="s">
        <v>11</v>
      </c>
      <c r="U56" s="54">
        <f>ROUND(3^0.5*100*X54*U52*T52/(58*Q51*V52),2)</f>
        <v>18.46</v>
      </c>
      <c r="V56" s="54">
        <f>IF(U56&lt;V55,V55,U56)</f>
        <v>18.46</v>
      </c>
      <c r="W56" s="54">
        <f>IF(U56&lt;V55*1.005,V54,IF(V56&lt;320,LOOKUP(V56,Y2:Y31,Z2:Z31),IF(V56&lt;620,LOOKUP(V56/2,Y2:Y31,Z2:Z31),240)))</f>
        <v>25</v>
      </c>
      <c r="X56" s="54">
        <f>IF(U56&lt;V55*1.005,W54,IF(V56&lt;320,1,IF(V56&lt;620,2,ROUNDUP(V56/240,0))))</f>
        <v>1</v>
      </c>
      <c r="Z56" s="54" t="str">
        <f>IF(X57=1,AA56,AB56)</f>
        <v>3.5x25</v>
      </c>
      <c r="AA56" s="54" t="str">
        <f>CONCATENATE(IF(W57&lt;25,AB57,AA57),"x",W57)</f>
        <v>3.5x25</v>
      </c>
      <c r="AB56" s="54" t="str">
        <f>CONCATENATE(X57,"(",IF(W57&lt;25,AB57,AA57),"x",W57,")")</f>
        <v>1(3.5x25)</v>
      </c>
    </row>
    <row r="57" spans="4:28" x14ac:dyDescent="0.25">
      <c r="D57" s="54">
        <v>2800</v>
      </c>
      <c r="G57" s="54">
        <f t="shared" si="10"/>
        <v>240</v>
      </c>
      <c r="H57" s="54">
        <f t="shared" si="4"/>
        <v>7</v>
      </c>
      <c r="L57" s="57"/>
      <c r="M57" s="55"/>
      <c r="N57" s="55">
        <f>'Cable Cal'!L22</f>
        <v>3</v>
      </c>
      <c r="O57" s="65"/>
      <c r="P57" s="55"/>
      <c r="Q57" s="55">
        <f>'Cable Cal'!T22</f>
        <v>2</v>
      </c>
      <c r="R57" s="65"/>
      <c r="S57" s="57"/>
      <c r="T57" s="54">
        <f>(1-T52^2)^0.5</f>
        <v>0.54258639865002156</v>
      </c>
      <c r="W57" s="54">
        <f>IF(W56*X56&gt;V54*W54,W56,V54)</f>
        <v>25</v>
      </c>
      <c r="X57" s="54">
        <f>IF(W56*X56&gt;V54*W54,X56,W54)</f>
        <v>1</v>
      </c>
      <c r="AA57" s="54">
        <v>3.5</v>
      </c>
      <c r="AB57" s="54">
        <v>4</v>
      </c>
    </row>
    <row r="58" spans="4:28" x14ac:dyDescent="0.25">
      <c r="D58" s="54">
        <v>2900</v>
      </c>
      <c r="G58" s="54">
        <f t="shared" si="10"/>
        <v>300</v>
      </c>
      <c r="H58" s="54">
        <f t="shared" si="4"/>
        <v>6</v>
      </c>
      <c r="L58" s="57"/>
      <c r="M58" s="55"/>
      <c r="N58" s="55"/>
      <c r="O58" s="55"/>
      <c r="P58" s="55"/>
      <c r="Q58" s="55"/>
      <c r="R58" s="55"/>
      <c r="S58" s="57"/>
      <c r="T58" s="57"/>
      <c r="X58" s="64"/>
      <c r="Y58" s="64"/>
      <c r="Z58" s="64"/>
    </row>
    <row r="59" spans="4:28" x14ac:dyDescent="0.25">
      <c r="D59" s="54">
        <v>3000</v>
      </c>
      <c r="G59" s="54">
        <f t="shared" si="10"/>
        <v>240</v>
      </c>
      <c r="H59" s="54">
        <f t="shared" si="4"/>
        <v>8</v>
      </c>
      <c r="L59" s="57"/>
      <c r="M59" s="65"/>
      <c r="N59" s="55"/>
      <c r="O59" s="55"/>
      <c r="P59" s="65"/>
      <c r="Q59" s="55"/>
      <c r="R59" s="55"/>
      <c r="S59" s="57"/>
      <c r="T59" s="57"/>
      <c r="X59" s="64"/>
      <c r="Y59" s="64"/>
      <c r="Z59" s="54" t="str">
        <f>IF(X57=1,AA59,AB59)</f>
        <v>3x25</v>
      </c>
      <c r="AA59" s="54" t="str">
        <f>CONCATENATE(IF(W57&lt;25,AB60,AA60),"x",W57)</f>
        <v>3x25</v>
      </c>
      <c r="AB59" s="54" t="str">
        <f>CONCATENATE(X57,"(",IF(W57&lt;25,AB60,AA60),"x",W57,")")</f>
        <v>1(3x25)</v>
      </c>
    </row>
    <row r="60" spans="4:28" x14ac:dyDescent="0.25">
      <c r="D60" s="54">
        <v>3100</v>
      </c>
      <c r="G60" s="54">
        <f t="shared" si="10"/>
        <v>240</v>
      </c>
      <c r="H60" s="54">
        <f t="shared" si="4"/>
        <v>8</v>
      </c>
      <c r="L60" s="57"/>
      <c r="M60" s="65"/>
      <c r="N60" s="55"/>
      <c r="O60" s="55"/>
      <c r="P60" s="65"/>
      <c r="Q60" s="55"/>
      <c r="R60" s="55"/>
      <c r="S60" s="57"/>
      <c r="X60" s="64"/>
      <c r="Y60" s="64"/>
      <c r="Z60" s="64"/>
      <c r="AA60" s="54">
        <v>3</v>
      </c>
      <c r="AB60" s="54">
        <v>3</v>
      </c>
    </row>
    <row r="61" spans="4:28" x14ac:dyDescent="0.25">
      <c r="D61" s="54">
        <v>3200</v>
      </c>
      <c r="G61" s="54">
        <f t="shared" si="10"/>
        <v>240</v>
      </c>
      <c r="H61" s="54">
        <f t="shared" si="4"/>
        <v>8</v>
      </c>
      <c r="L61" s="57"/>
      <c r="M61" s="65"/>
      <c r="N61" s="55">
        <f>'Cable Cal'!L25</f>
        <v>25</v>
      </c>
      <c r="O61" s="65"/>
      <c r="P61" s="65"/>
      <c r="Q61" s="55">
        <f>'Cable Cal'!T25</f>
        <v>120</v>
      </c>
      <c r="R61" s="65"/>
      <c r="S61" s="57"/>
      <c r="T61" s="57">
        <f>N64</f>
        <v>0.84</v>
      </c>
      <c r="U61" s="54">
        <f>N83</f>
        <v>70.64</v>
      </c>
      <c r="V61" s="54">
        <f>N57</f>
        <v>3</v>
      </c>
      <c r="X61" s="64"/>
      <c r="Y61" s="64"/>
      <c r="Z61" s="64"/>
    </row>
    <row r="62" spans="4:28" x14ac:dyDescent="0.25">
      <c r="D62" s="54">
        <v>3300</v>
      </c>
      <c r="G62" s="54">
        <f t="shared" si="10"/>
        <v>300</v>
      </c>
      <c r="H62" s="54">
        <f t="shared" si="4"/>
        <v>7</v>
      </c>
      <c r="L62" s="57"/>
      <c r="M62" s="55"/>
      <c r="N62" s="55"/>
      <c r="O62" s="65"/>
      <c r="P62" s="55"/>
      <c r="Q62" s="55"/>
      <c r="R62" s="65"/>
      <c r="S62" s="57"/>
      <c r="Z62" s="57"/>
    </row>
    <row r="63" spans="4:28" x14ac:dyDescent="0.25">
      <c r="D63" s="54">
        <v>3400</v>
      </c>
      <c r="G63" s="54">
        <f t="shared" si="10"/>
        <v>300</v>
      </c>
      <c r="H63" s="54">
        <f t="shared" si="4"/>
        <v>7</v>
      </c>
      <c r="L63" s="57"/>
      <c r="M63" s="55"/>
      <c r="N63" s="55">
        <f>'Cable Cal'!L30</f>
        <v>37</v>
      </c>
      <c r="O63" s="55"/>
      <c r="P63" s="55"/>
      <c r="Q63" s="55">
        <f>'Cable Cal'!T30</f>
        <v>45</v>
      </c>
      <c r="R63" s="55"/>
      <c r="S63" s="57"/>
      <c r="T63" s="54">
        <f>N56</f>
        <v>25</v>
      </c>
      <c r="U63" s="54">
        <f>U61</f>
        <v>70.64</v>
      </c>
      <c r="V63" s="54">
        <f>IF(U63&lt;$L$20,LOOKUP(U63,$L$1:$L$20,$K$1:$K$20),IF(ROUNDUP(U63/$L$16,0)*300&lt;=ROUNDUP(U63/$L$15,0)*240,300,240))</f>
        <v>25</v>
      </c>
      <c r="W63" s="54">
        <f>IF(U63&lt;$L$20,LOOKUP(U63,$L$1:$L$20,$J$1:$J$20),IF(ROUNDUP(U63/$L$16,0)*300&lt;=ROUNDUP(U63/$L$15,0)*240,ROUNDUP(U63/$L$16,0),ROUNDUP(U63/$L$15,0)))</f>
        <v>1</v>
      </c>
      <c r="X63" s="57">
        <f>N61</f>
        <v>25</v>
      </c>
      <c r="Y63" s="54">
        <f>ROUND((3^0.5*(U61/X66)*X63*(1000/56/W66)*T61)/(10*N51),2)</f>
        <v>0.46</v>
      </c>
      <c r="Z63" s="57"/>
    </row>
    <row r="64" spans="4:28" x14ac:dyDescent="0.25">
      <c r="D64" s="54">
        <v>3500</v>
      </c>
      <c r="G64" s="54">
        <f t="shared" si="10"/>
        <v>240</v>
      </c>
      <c r="H64" s="54">
        <f t="shared" si="4"/>
        <v>9</v>
      </c>
      <c r="L64" s="57"/>
      <c r="M64" s="55"/>
      <c r="N64" s="55">
        <f>'Cable Cal'!L31</f>
        <v>0.84</v>
      </c>
      <c r="O64" s="55"/>
      <c r="P64" s="55"/>
      <c r="Q64" s="55">
        <f>'Cable Cal'!T31</f>
        <v>0.84</v>
      </c>
      <c r="R64" s="55"/>
      <c r="S64" s="57"/>
      <c r="V64" s="54">
        <f>IF(U63&lt;$L$20,LOOKUP(U63,$L$1:$L$20,$K$1:$K$20),IF(ROUNDUP(U63/$L$16,0)*300&lt;=ROUNDUP(U63/$L$15,0)*240,300,240))*IF(U63&lt;$L$20,LOOKUP(U63,$L$1:$L$20,$J$1:$J$20),IF(ROUNDUP(U63/$L$16,0)*300&lt;=ROUNDUP(U63/$L$15,0)*240,ROUNDUP(U63/$L$16,0),ROUNDUP(U63/$L$15,0)))</f>
        <v>25</v>
      </c>
      <c r="X64" s="57" t="s">
        <v>32</v>
      </c>
      <c r="Y64" s="57"/>
      <c r="Z64" s="57"/>
    </row>
    <row r="65" spans="1:28" x14ac:dyDescent="0.25">
      <c r="D65" s="54">
        <v>3600</v>
      </c>
      <c r="G65" s="54">
        <f t="shared" si="10"/>
        <v>240</v>
      </c>
      <c r="H65" s="54">
        <f t="shared" si="4"/>
        <v>9</v>
      </c>
      <c r="L65" s="57"/>
      <c r="M65" s="55"/>
      <c r="N65" s="55">
        <f>'Cable Cal'!L32</f>
        <v>90</v>
      </c>
      <c r="O65" s="55"/>
      <c r="P65" s="55"/>
      <c r="Q65" s="55">
        <f>'Cable Cal'!T32</f>
        <v>91</v>
      </c>
      <c r="R65" s="55"/>
      <c r="S65" s="57"/>
      <c r="T65" s="54" t="s">
        <v>11</v>
      </c>
      <c r="U65" s="54">
        <f>IF(M54=O2,U67,U66)</f>
        <v>3.69</v>
      </c>
      <c r="V65" s="54">
        <f>IF(U65&lt;V64,V64,U65)</f>
        <v>25</v>
      </c>
      <c r="W65" s="54">
        <f>IF(U65&lt;V64*1.005,V63,IF(V65&lt;320,LOOKUP(V65,Y2:Y31,Z2:Z31),IF(V65&lt;620,LOOKUP(V65/2,Y2:Y31,Z2:Z31),240)))</f>
        <v>25</v>
      </c>
      <c r="X65" s="54">
        <f>IF(U65&lt;V64*1.005,W63,IF(V65&lt;320,1,IF(V65&lt;620,2,ROUNDUP(V65/240,0))))</f>
        <v>1</v>
      </c>
      <c r="Y65" s="57"/>
      <c r="Z65" s="54" t="str">
        <f>IF(X66=1,AA65,AB65)</f>
        <v>3x25</v>
      </c>
      <c r="AA65" s="54" t="str">
        <f>CONCATENATE(IF(W66&lt;25,AB66,AA66),"x",W66)</f>
        <v>3x25</v>
      </c>
      <c r="AB65" s="54" t="str">
        <f>CONCATENATE(X66,"(",IF(W66&lt;25,AB66,AA66),"x",W66,")")</f>
        <v>1(3x25)</v>
      </c>
    </row>
    <row r="66" spans="1:28" x14ac:dyDescent="0.25">
      <c r="A66" s="54">
        <v>1.0000000000000001E-5</v>
      </c>
      <c r="B66" s="54">
        <v>0.96</v>
      </c>
      <c r="C66" s="54">
        <v>30</v>
      </c>
      <c r="D66" s="54">
        <v>3700</v>
      </c>
      <c r="G66" s="54">
        <f t="shared" si="10"/>
        <v>300</v>
      </c>
      <c r="H66" s="54">
        <f t="shared" ref="H66:H80" si="11">IF(D66&lt;$L$20,LOOKUP(D66,$L$1:$L$20,$J$1:$J$20),IF(ROUNDUP(D66/$L$16,0)*300&lt;=ROUNDUP(D66/$L$15,0)*240,ROUNDUP(D66/$L$16,0),ROUNDUP(D66/$L$15,0)))</f>
        <v>8</v>
      </c>
      <c r="L66" s="57"/>
      <c r="M66" s="55"/>
      <c r="N66" s="55"/>
      <c r="O66" s="55"/>
      <c r="P66" s="55"/>
      <c r="Q66" s="55"/>
      <c r="R66" s="55"/>
      <c r="S66" s="57"/>
      <c r="T66" s="54">
        <f>(1-T61^2)^0.5</f>
        <v>0.54258639865002156</v>
      </c>
      <c r="U66" s="54">
        <f>ROUND(3^0.5*100*X63*U61*T61/(58*N51*V61),2)</f>
        <v>3.69</v>
      </c>
      <c r="W66" s="54">
        <f>IF(W65*X65&gt;V63*W63,W65,V63)</f>
        <v>25</v>
      </c>
      <c r="X66" s="54">
        <f>IF(W65*X65&gt;V63*W63,X65,W63)</f>
        <v>1</v>
      </c>
      <c r="Y66" s="57"/>
      <c r="AA66" s="54">
        <v>3</v>
      </c>
      <c r="AB66" s="54">
        <v>3</v>
      </c>
    </row>
    <row r="67" spans="1:28" x14ac:dyDescent="0.25">
      <c r="A67" s="54">
        <v>0.1</v>
      </c>
      <c r="B67" s="54">
        <v>0.95</v>
      </c>
      <c r="C67" s="54">
        <v>35</v>
      </c>
      <c r="D67" s="54">
        <v>3800</v>
      </c>
      <c r="G67" s="54">
        <f t="shared" si="10"/>
        <v>300</v>
      </c>
      <c r="H67" s="54">
        <f t="shared" si="11"/>
        <v>8</v>
      </c>
      <c r="L67" s="57"/>
      <c r="M67" s="66"/>
      <c r="N67" s="55"/>
      <c r="O67" s="55"/>
      <c r="P67" s="55"/>
      <c r="Q67" s="55"/>
      <c r="R67" s="55"/>
      <c r="S67" s="57"/>
      <c r="T67" s="57"/>
      <c r="U67" s="54">
        <f>ROUND(2*100*X63*U61*T61/(58*N51*V61),2)</f>
        <v>4.26</v>
      </c>
      <c r="V67" s="67"/>
      <c r="W67" s="57"/>
      <c r="X67" s="57"/>
      <c r="Y67" s="57"/>
      <c r="Z67" s="57"/>
    </row>
    <row r="68" spans="1:28" x14ac:dyDescent="0.25">
      <c r="A68" s="54">
        <v>0.15</v>
      </c>
      <c r="B68" s="54">
        <v>0.95</v>
      </c>
      <c r="C68" s="54">
        <v>53</v>
      </c>
      <c r="D68" s="54">
        <v>3900</v>
      </c>
      <c r="G68" s="54">
        <f t="shared" si="10"/>
        <v>300</v>
      </c>
      <c r="H68" s="54">
        <f t="shared" si="11"/>
        <v>8</v>
      </c>
      <c r="L68" s="57"/>
      <c r="M68" s="56"/>
      <c r="N68" s="56"/>
      <c r="O68" s="56"/>
      <c r="P68" s="56"/>
      <c r="Q68" s="56"/>
      <c r="R68" s="56" t="s">
        <v>17</v>
      </c>
      <c r="S68" s="57"/>
      <c r="T68" s="57"/>
      <c r="X68" s="57"/>
      <c r="Y68" s="57"/>
      <c r="Z68" s="57"/>
    </row>
    <row r="69" spans="1:28" x14ac:dyDescent="0.25">
      <c r="A69" s="54">
        <v>0.2</v>
      </c>
      <c r="B69" s="54">
        <v>0.92</v>
      </c>
      <c r="C69" s="54">
        <v>48</v>
      </c>
      <c r="D69" s="54">
        <v>4000</v>
      </c>
      <c r="G69" s="54">
        <f t="shared" si="10"/>
        <v>240</v>
      </c>
      <c r="H69" s="54">
        <f t="shared" si="11"/>
        <v>10</v>
      </c>
      <c r="L69" s="57"/>
      <c r="M69" s="55"/>
      <c r="N69" s="55"/>
      <c r="O69" s="55"/>
      <c r="P69" s="55"/>
      <c r="Q69" s="55"/>
      <c r="R69" s="55"/>
      <c r="X69" s="57"/>
      <c r="Y69" s="57"/>
      <c r="Z69" s="57"/>
    </row>
    <row r="70" spans="1:28" x14ac:dyDescent="0.25">
      <c r="A70" s="54">
        <v>0.4</v>
      </c>
      <c r="B70" s="54">
        <v>0.95</v>
      </c>
      <c r="C70" s="54">
        <v>63</v>
      </c>
      <c r="D70" s="54">
        <v>4100</v>
      </c>
      <c r="G70" s="54">
        <f t="shared" si="10"/>
        <v>240</v>
      </c>
      <c r="H70" s="54">
        <f t="shared" si="11"/>
        <v>11</v>
      </c>
      <c r="L70" s="57"/>
      <c r="M70" s="55"/>
      <c r="N70" s="55" t="str">
        <f>LOOKUP(N83,AC2:AC33,AE2:AE33)</f>
        <v>63-80</v>
      </c>
      <c r="O70" s="55"/>
      <c r="P70" s="55"/>
      <c r="Q70" s="55" t="str">
        <f ca="1">LOOKUP(Q83,AC2:AC33,AE2:AE32)</f>
        <v>80-125</v>
      </c>
      <c r="R70" s="55"/>
      <c r="X70" s="57"/>
      <c r="Y70" s="57"/>
      <c r="Z70" s="57"/>
    </row>
    <row r="71" spans="1:28" x14ac:dyDescent="0.25">
      <c r="A71" s="54">
        <v>0.55000000000000004</v>
      </c>
      <c r="B71" s="54">
        <v>0.82</v>
      </c>
      <c r="C71" s="54">
        <v>53</v>
      </c>
      <c r="D71" s="54">
        <v>4200</v>
      </c>
      <c r="G71" s="54">
        <f t="shared" si="10"/>
        <v>240</v>
      </c>
      <c r="H71" s="54">
        <f t="shared" si="11"/>
        <v>11</v>
      </c>
      <c r="L71" s="57"/>
      <c r="M71" s="55"/>
      <c r="N71" s="55"/>
      <c r="O71" s="55"/>
      <c r="P71" s="55"/>
      <c r="Q71" s="55"/>
      <c r="R71" s="55"/>
      <c r="X71" s="57"/>
      <c r="Y71" s="57"/>
      <c r="Z71" s="57"/>
    </row>
    <row r="72" spans="1:28" x14ac:dyDescent="0.25">
      <c r="A72" s="54">
        <v>0.75</v>
      </c>
      <c r="B72" s="54">
        <v>0.97</v>
      </c>
      <c r="C72" s="54">
        <v>63</v>
      </c>
      <c r="D72" s="54">
        <v>4300</v>
      </c>
      <c r="G72" s="54">
        <f t="shared" si="10"/>
        <v>240</v>
      </c>
      <c r="H72" s="54">
        <f t="shared" si="11"/>
        <v>11</v>
      </c>
      <c r="L72" s="57"/>
      <c r="M72" s="55"/>
      <c r="N72" s="56">
        <f>LOOKUP(N83,AA2:AA24,AB2:AB24)</f>
        <v>80</v>
      </c>
      <c r="O72" s="56"/>
      <c r="P72" s="55">
        <f>LOOKUP(Q84,AA2:AA24,AB2:AB24)</f>
        <v>50</v>
      </c>
      <c r="Q72" s="56">
        <f>P72</f>
        <v>50</v>
      </c>
      <c r="R72" s="56">
        <f>LOOKUP(Q84,AA2:AA24,AA2:AA24)</f>
        <v>40</v>
      </c>
      <c r="X72" s="57"/>
      <c r="Y72" s="57"/>
      <c r="Z72" s="57"/>
    </row>
    <row r="73" spans="1:28" x14ac:dyDescent="0.25">
      <c r="A73" s="54">
        <v>1.1000000000000001</v>
      </c>
      <c r="B73" s="54">
        <v>0.97</v>
      </c>
      <c r="C73" s="54">
        <v>63</v>
      </c>
      <c r="D73" s="54">
        <v>4400</v>
      </c>
      <c r="G73" s="54">
        <f t="shared" si="10"/>
        <v>240</v>
      </c>
      <c r="H73" s="54">
        <f t="shared" si="11"/>
        <v>11</v>
      </c>
      <c r="L73" s="57"/>
      <c r="M73" s="55"/>
      <c r="N73" s="55"/>
      <c r="O73" s="55"/>
      <c r="P73" s="55"/>
      <c r="Q73" s="55"/>
      <c r="R73" s="55"/>
      <c r="X73" s="57"/>
      <c r="Y73" s="57"/>
      <c r="Z73" s="57"/>
    </row>
    <row r="74" spans="1:28" x14ac:dyDescent="0.25">
      <c r="A74" s="54">
        <v>1.5</v>
      </c>
      <c r="B74" s="54">
        <v>0.98</v>
      </c>
      <c r="C74" s="54">
        <v>74</v>
      </c>
      <c r="D74" s="54">
        <v>4500</v>
      </c>
      <c r="G74" s="54">
        <f t="shared" si="10"/>
        <v>240</v>
      </c>
      <c r="H74" s="54">
        <f t="shared" si="11"/>
        <v>12</v>
      </c>
      <c r="M74" s="55"/>
      <c r="N74" s="55"/>
      <c r="O74" s="65"/>
      <c r="P74" s="55"/>
      <c r="Q74" s="55"/>
      <c r="R74" s="65"/>
      <c r="Y74" s="57"/>
      <c r="Z74" s="57"/>
    </row>
    <row r="75" spans="1:28" x14ac:dyDescent="0.25">
      <c r="A75" s="54">
        <v>2.2000000000000002</v>
      </c>
      <c r="B75" s="54">
        <v>0.95</v>
      </c>
      <c r="C75" s="54">
        <v>65</v>
      </c>
      <c r="D75" s="54">
        <v>4600</v>
      </c>
      <c r="G75" s="54">
        <f t="shared" si="10"/>
        <v>240</v>
      </c>
      <c r="H75" s="54">
        <f t="shared" si="11"/>
        <v>12</v>
      </c>
      <c r="M75" s="55"/>
      <c r="N75" s="55"/>
      <c r="O75" s="55"/>
      <c r="P75" s="55"/>
      <c r="Q75" s="55"/>
      <c r="R75" s="55"/>
      <c r="Y75" s="57"/>
      <c r="Z75" s="57"/>
    </row>
    <row r="76" spans="1:28" x14ac:dyDescent="0.25">
      <c r="A76" s="54">
        <v>3</v>
      </c>
      <c r="B76" s="54">
        <v>0.98</v>
      </c>
      <c r="C76" s="54">
        <v>74</v>
      </c>
      <c r="D76" s="54">
        <v>4700</v>
      </c>
      <c r="G76" s="54">
        <f t="shared" si="10"/>
        <v>240</v>
      </c>
      <c r="H76" s="54">
        <f t="shared" si="11"/>
        <v>12</v>
      </c>
      <c r="M76" s="65"/>
      <c r="N76" s="55"/>
      <c r="O76" s="55"/>
      <c r="P76" s="65"/>
      <c r="Q76" s="55"/>
      <c r="R76" s="55"/>
    </row>
    <row r="77" spans="1:28" x14ac:dyDescent="0.25">
      <c r="A77" s="54">
        <v>4</v>
      </c>
      <c r="B77" s="54">
        <v>0.96</v>
      </c>
      <c r="C77" s="54">
        <v>80</v>
      </c>
      <c r="D77" s="54">
        <v>4800</v>
      </c>
      <c r="G77" s="54">
        <f t="shared" si="10"/>
        <v>240</v>
      </c>
      <c r="H77" s="54">
        <f t="shared" si="11"/>
        <v>12</v>
      </c>
      <c r="M77" s="65"/>
      <c r="N77" s="55" t="str">
        <f>CONCATENATE(Z65,"mm2")</f>
        <v>3x25mm2</v>
      </c>
      <c r="O77" s="55"/>
      <c r="P77" s="65"/>
      <c r="Q77" s="55" t="str">
        <f>CONCATENATE(Z59,"mm2","+",Z56,"mm2")</f>
        <v>3x25mm2+3.5x25mm2</v>
      </c>
      <c r="R77" s="55"/>
    </row>
    <row r="78" spans="1:28" x14ac:dyDescent="0.25">
      <c r="A78" s="54">
        <v>5.5</v>
      </c>
      <c r="B78" s="54">
        <v>0.95</v>
      </c>
      <c r="C78" s="54">
        <v>82</v>
      </c>
      <c r="D78" s="54">
        <v>4900</v>
      </c>
      <c r="G78" s="54">
        <f t="shared" si="10"/>
        <v>300</v>
      </c>
      <c r="H78" s="54">
        <f t="shared" si="11"/>
        <v>10</v>
      </c>
      <c r="M78" s="65"/>
      <c r="N78" s="55"/>
      <c r="O78" s="65"/>
      <c r="P78" s="65"/>
      <c r="Q78" s="55"/>
      <c r="R78" s="65"/>
    </row>
    <row r="79" spans="1:28" x14ac:dyDescent="0.25">
      <c r="D79" s="54">
        <v>5000</v>
      </c>
      <c r="G79" s="54">
        <f t="shared" si="10"/>
        <v>240</v>
      </c>
      <c r="H79" s="54">
        <f t="shared" si="11"/>
        <v>13</v>
      </c>
      <c r="M79" s="55"/>
      <c r="N79" s="55"/>
      <c r="O79" s="65"/>
      <c r="P79" s="55"/>
      <c r="Q79" s="55">
        <f>Y54</f>
        <v>1.53</v>
      </c>
      <c r="R79" s="65"/>
    </row>
    <row r="80" spans="1:28" x14ac:dyDescent="0.25">
      <c r="D80" s="54">
        <v>5100</v>
      </c>
      <c r="G80" s="54">
        <f t="shared" si="10"/>
        <v>240</v>
      </c>
      <c r="H80" s="54">
        <f t="shared" si="11"/>
        <v>13</v>
      </c>
      <c r="M80" s="55"/>
      <c r="N80" s="55">
        <f>N63</f>
        <v>37</v>
      </c>
      <c r="O80" s="55"/>
      <c r="P80" s="55"/>
      <c r="Q80" s="55">
        <f>Q63</f>
        <v>45</v>
      </c>
      <c r="R80" s="55"/>
    </row>
    <row r="81" spans="11:18" x14ac:dyDescent="0.25">
      <c r="K81" s="54">
        <f>LOOKUP(N80,B2:B44,C2:C44)</f>
        <v>0.84</v>
      </c>
      <c r="L81" s="54">
        <f>LOOKUP(N80,A66:A78,B66:B78)</f>
        <v>0.95</v>
      </c>
      <c r="M81" s="55"/>
      <c r="N81" s="55">
        <f>IF('Cable Cal'!L10=CAL!O2,CAL!L81,CAL!K81)</f>
        <v>0.84</v>
      </c>
      <c r="O81" s="55"/>
      <c r="P81" s="55"/>
      <c r="Q81" s="55">
        <f>LOOKUP(Q80,B2:B44,C2:C44)</f>
        <v>0.84</v>
      </c>
      <c r="R81" s="55"/>
    </row>
    <row r="82" spans="11:18" x14ac:dyDescent="0.25">
      <c r="K82" s="54">
        <f>LOOKUP(N80,B2:B44,F2:F44)</f>
        <v>90</v>
      </c>
      <c r="L82" s="54">
        <f>LOOKUP(N80,A66:A78,C66:C78)</f>
        <v>82</v>
      </c>
      <c r="M82" s="55"/>
      <c r="N82" s="55">
        <f>IF('Cable Cal'!L10=CAL!O2,L82,K82)</f>
        <v>90</v>
      </c>
      <c r="O82" s="55"/>
      <c r="P82" s="55"/>
      <c r="Q82" s="55">
        <f>LOOKUP(Q80,B2:B44,F2:F44)</f>
        <v>91</v>
      </c>
      <c r="R82" s="55"/>
    </row>
    <row r="83" spans="11:18" x14ac:dyDescent="0.25">
      <c r="K83" s="54">
        <f>ROUND(N80*1000/(3^0.5*N51*N64*N65/100),2)</f>
        <v>70.64</v>
      </c>
      <c r="L83" s="54">
        <f>ROUND(N80*1000/(N51*N65/100*N64),2)</f>
        <v>122.35</v>
      </c>
      <c r="M83" s="55"/>
      <c r="N83" s="55">
        <f>IF('Cable Cal'!L10=CAL!O2,L83,K83)</f>
        <v>70.64</v>
      </c>
      <c r="O83" s="55"/>
      <c r="P83" s="55"/>
      <c r="Q83" s="55">
        <f>ROUND(Q63*1000/Q64/Q65*100/Q51/3^0.5,2)</f>
        <v>84.97</v>
      </c>
      <c r="R83" s="55"/>
    </row>
    <row r="84" spans="11:18" x14ac:dyDescent="0.25">
      <c r="Q84" s="54">
        <f>Q83/3^0.5</f>
        <v>49.057452373042501</v>
      </c>
    </row>
  </sheetData>
  <sheetProtection algorithmName="SHA-512" hashValue="CG3BCVoVG7Rb8SRwEh/+Q34O/NMRpIcpl8cqLsVOmyBEfv51Srj5SnP9PZFiI3JfK4pa1tRs8AOxDl+Wdx5d8w==" saltValue="dGJM3DHOCG+B63wuS/TPiQ==" spinCount="100000" sheet="1" objects="1" scenarios="1"/>
  <protectedRanges>
    <protectedRange sqref="W13" name="Range1"/>
  </protectedRanges>
  <mergeCells count="5">
    <mergeCell ref="P23:S23"/>
    <mergeCell ref="P24:P25"/>
    <mergeCell ref="Q24:Q25"/>
    <mergeCell ref="R24:R25"/>
    <mergeCell ref="S24:S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Cable Cal</vt:lpstr>
      <vt:lpstr>CAL</vt:lpstr>
      <vt:lpstr>'Cable Cal'!Print_Area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cp:lastPrinted>2021-09-01T11:13:54Z</cp:lastPrinted>
  <dcterms:created xsi:type="dcterms:W3CDTF">2021-08-11T12:00:14Z</dcterms:created>
  <dcterms:modified xsi:type="dcterms:W3CDTF">2021-09-12T10:33:54Z</dcterms:modified>
</cp:coreProperties>
</file>